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smart/Downloads/"/>
    </mc:Choice>
  </mc:AlternateContent>
  <xr:revisionPtr revIDLastSave="0" documentId="13_ncr:1_{EC714404-E288-7B4D-9708-D19EC327678C}" xr6:coauthVersionLast="47" xr6:coauthVersionMax="47" xr10:uidLastSave="{00000000-0000-0000-0000-000000000000}"/>
  <bookViews>
    <workbookView xWindow="0" yWindow="660" windowWidth="29400" windowHeight="18460" tabRatio="868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Substructure" sheetId="100" r:id="rId5"/>
    <sheet name="Preliminaries" sheetId="97" r:id="rId6"/>
    <sheet name="Details" sheetId="111" r:id="rId7"/>
  </sheets>
  <definedNames>
    <definedName name="_xlnm._FilterDatabase" localSheetId="5" hidden="1">Preliminaries!$A$9:$H$48</definedName>
    <definedName name="_xlnm._FilterDatabase" localSheetId="4" hidden="1">Substructure!$A$11:$N$57</definedName>
    <definedName name="_xlnm.Print_Area" localSheetId="0">Cover!$A$1:$L$65</definedName>
    <definedName name="_xlnm.Print_Area" localSheetId="5">Preliminaries!$A$1:$F$66</definedName>
    <definedName name="_xlnm.Print_Area" localSheetId="4">Substructure!$A$1:$F$95</definedName>
    <definedName name="_xlnm.Print_Area" localSheetId="3">Summary!$A$1:$D$19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5" i="97" l="1"/>
  <c r="F94" i="100"/>
  <c r="K94" i="100"/>
  <c r="N94" i="100"/>
  <c r="M94" i="100"/>
  <c r="L94" i="100"/>
  <c r="A17" i="100" l="1"/>
  <c r="A19" i="100"/>
  <c r="A21" i="100"/>
  <c r="A23" i="100"/>
  <c r="A25" i="100"/>
  <c r="A27" i="100"/>
  <c r="A29" i="100"/>
  <c r="A31" i="100"/>
  <c r="A33" i="100"/>
  <c r="A35" i="100"/>
  <c r="A37" i="100"/>
  <c r="A38" i="100"/>
  <c r="A39" i="100"/>
  <c r="A41" i="100"/>
  <c r="A43" i="100"/>
  <c r="A44" i="100"/>
  <c r="A45" i="100"/>
  <c r="A47" i="100"/>
  <c r="A48" i="100"/>
  <c r="A49" i="100"/>
  <c r="A51" i="100"/>
  <c r="A53" i="100"/>
  <c r="A54" i="100"/>
  <c r="A55" i="100"/>
  <c r="A57" i="100"/>
  <c r="A58" i="100"/>
  <c r="A59" i="100"/>
  <c r="A61" i="100"/>
  <c r="A63" i="100"/>
  <c r="A65" i="100"/>
  <c r="A67" i="100"/>
  <c r="A69" i="100"/>
  <c r="A71" i="100"/>
  <c r="A73" i="100"/>
  <c r="A75" i="100"/>
  <c r="A77" i="100"/>
  <c r="A79" i="100"/>
  <c r="A81" i="100"/>
  <c r="A83" i="100"/>
  <c r="A85" i="100"/>
  <c r="A86" i="100"/>
  <c r="A87" i="100"/>
  <c r="A89" i="100"/>
  <c r="A90" i="100"/>
  <c r="A91" i="100"/>
  <c r="A93" i="100"/>
  <c r="A15" i="100"/>
  <c r="L92" i="100"/>
  <c r="K92" i="100"/>
  <c r="J92" i="100"/>
  <c r="N92" i="100" s="1"/>
  <c r="I92" i="100"/>
  <c r="M92" i="100" s="1"/>
  <c r="E92" i="100"/>
  <c r="F92" i="100" s="1"/>
  <c r="L88" i="100"/>
  <c r="K88" i="100"/>
  <c r="J88" i="100"/>
  <c r="N88" i="100" s="1"/>
  <c r="I88" i="100"/>
  <c r="M88" i="100" s="1"/>
  <c r="E88" i="100"/>
  <c r="F88" i="100" s="1"/>
  <c r="L84" i="100"/>
  <c r="K84" i="100"/>
  <c r="J84" i="100"/>
  <c r="N84" i="100" s="1"/>
  <c r="I84" i="100"/>
  <c r="M84" i="100" s="1"/>
  <c r="E84" i="100"/>
  <c r="F84" i="100" s="1"/>
  <c r="L82" i="100"/>
  <c r="K82" i="100"/>
  <c r="J82" i="100"/>
  <c r="N82" i="100" s="1"/>
  <c r="I82" i="100"/>
  <c r="M82" i="100" s="1"/>
  <c r="E82" i="100"/>
  <c r="F82" i="100" s="1"/>
  <c r="L80" i="100"/>
  <c r="K80" i="100"/>
  <c r="J80" i="100"/>
  <c r="N80" i="100" s="1"/>
  <c r="I80" i="100"/>
  <c r="M80" i="100" s="1"/>
  <c r="E80" i="100"/>
  <c r="F80" i="100" s="1"/>
  <c r="L78" i="100"/>
  <c r="K78" i="100"/>
  <c r="J78" i="100"/>
  <c r="N78" i="100" s="1"/>
  <c r="I78" i="100"/>
  <c r="M78" i="100" s="1"/>
  <c r="E78" i="100"/>
  <c r="F78" i="100" s="1"/>
  <c r="L76" i="100"/>
  <c r="K76" i="100"/>
  <c r="J76" i="100"/>
  <c r="N76" i="100" s="1"/>
  <c r="I76" i="100"/>
  <c r="M76" i="100" s="1"/>
  <c r="E76" i="100"/>
  <c r="F76" i="100" s="1"/>
  <c r="L74" i="100"/>
  <c r="K74" i="100"/>
  <c r="J74" i="100"/>
  <c r="N74" i="100" s="1"/>
  <c r="I74" i="100"/>
  <c r="M74" i="100" s="1"/>
  <c r="E74" i="100"/>
  <c r="F74" i="100" s="1"/>
  <c r="L72" i="100"/>
  <c r="K72" i="100"/>
  <c r="J72" i="100"/>
  <c r="N72" i="100" s="1"/>
  <c r="I72" i="100"/>
  <c r="M72" i="100" s="1"/>
  <c r="E72" i="100"/>
  <c r="F72" i="100" s="1"/>
  <c r="L70" i="100"/>
  <c r="K70" i="100"/>
  <c r="J70" i="100"/>
  <c r="N70" i="100" s="1"/>
  <c r="I70" i="100"/>
  <c r="M70" i="100" s="1"/>
  <c r="E70" i="100"/>
  <c r="F70" i="100" s="1"/>
  <c r="L68" i="100"/>
  <c r="K68" i="100"/>
  <c r="J68" i="100"/>
  <c r="N68" i="100" s="1"/>
  <c r="I68" i="100"/>
  <c r="M68" i="100" s="1"/>
  <c r="E68" i="100"/>
  <c r="F68" i="100" s="1"/>
  <c r="L66" i="100"/>
  <c r="K66" i="100"/>
  <c r="J66" i="100"/>
  <c r="N66" i="100" s="1"/>
  <c r="I66" i="100"/>
  <c r="M66" i="100" s="1"/>
  <c r="E66" i="100"/>
  <c r="F66" i="100" s="1"/>
  <c r="L64" i="100"/>
  <c r="K64" i="100"/>
  <c r="J64" i="100"/>
  <c r="N64" i="100" s="1"/>
  <c r="I64" i="100"/>
  <c r="M64" i="100" s="1"/>
  <c r="E64" i="100"/>
  <c r="F64" i="100" s="1"/>
  <c r="L62" i="100"/>
  <c r="K62" i="100"/>
  <c r="J62" i="100"/>
  <c r="N62" i="100" s="1"/>
  <c r="I62" i="100"/>
  <c r="M62" i="100" s="1"/>
  <c r="E62" i="100"/>
  <c r="F62" i="100" s="1"/>
  <c r="L60" i="100"/>
  <c r="K60" i="100"/>
  <c r="J60" i="100"/>
  <c r="N60" i="100" s="1"/>
  <c r="I60" i="100"/>
  <c r="M60" i="100" s="1"/>
  <c r="E60" i="100"/>
  <c r="F60" i="100" s="1"/>
  <c r="L36" i="100"/>
  <c r="K36" i="100"/>
  <c r="J36" i="100"/>
  <c r="N36" i="100" s="1"/>
  <c r="I36" i="100"/>
  <c r="M36" i="100" s="1"/>
  <c r="E36" i="100"/>
  <c r="F36" i="100" s="1"/>
  <c r="N35" i="100"/>
  <c r="J34" i="100"/>
  <c r="I34" i="100"/>
  <c r="E34" i="100"/>
  <c r="N33" i="100"/>
  <c r="J32" i="100"/>
  <c r="N32" i="100" s="1"/>
  <c r="I32" i="100"/>
  <c r="E32" i="100"/>
  <c r="C32" i="100"/>
  <c r="L32" i="100" s="1"/>
  <c r="N31" i="100"/>
  <c r="L30" i="100"/>
  <c r="K30" i="100"/>
  <c r="J30" i="100"/>
  <c r="N30" i="100" s="1"/>
  <c r="I30" i="100"/>
  <c r="M30" i="100" s="1"/>
  <c r="E30" i="100"/>
  <c r="F30" i="100" s="1"/>
  <c r="N29" i="100"/>
  <c r="J28" i="100"/>
  <c r="I28" i="100"/>
  <c r="E28" i="100"/>
  <c r="N27" i="100"/>
  <c r="J26" i="100"/>
  <c r="I26" i="100"/>
  <c r="E26" i="100"/>
  <c r="C26" i="100"/>
  <c r="C28" i="100" s="1"/>
  <c r="F32" i="100" l="1"/>
  <c r="M32" i="100"/>
  <c r="M26" i="100"/>
  <c r="F28" i="100"/>
  <c r="N26" i="100"/>
  <c r="K26" i="100"/>
  <c r="F26" i="100"/>
  <c r="M28" i="100"/>
  <c r="L28" i="100"/>
  <c r="C34" i="100"/>
  <c r="M34" i="100" s="1"/>
  <c r="K28" i="100"/>
  <c r="N28" i="100"/>
  <c r="L26" i="100"/>
  <c r="K32" i="100"/>
  <c r="E11" i="97"/>
  <c r="E13" i="97"/>
  <c r="E15" i="97"/>
  <c r="E17" i="97"/>
  <c r="E19" i="97"/>
  <c r="E21" i="97"/>
  <c r="E23" i="97"/>
  <c r="E25" i="97"/>
  <c r="E27" i="97"/>
  <c r="E29" i="97"/>
  <c r="E31" i="97"/>
  <c r="E33" i="97"/>
  <c r="E9" i="97"/>
  <c r="E14" i="100"/>
  <c r="E18" i="100"/>
  <c r="E20" i="100"/>
  <c r="E22" i="100"/>
  <c r="E24" i="100"/>
  <c r="E40" i="100"/>
  <c r="F40" i="100" s="1"/>
  <c r="E42" i="100"/>
  <c r="F42" i="100" s="1"/>
  <c r="I46" i="100"/>
  <c r="M46" i="100" s="1"/>
  <c r="E50" i="100"/>
  <c r="E52" i="100"/>
  <c r="E56" i="100"/>
  <c r="Q9" i="100"/>
  <c r="E16" i="100"/>
  <c r="A11" i="100"/>
  <c r="A12" i="100"/>
  <c r="A13" i="100"/>
  <c r="L46" i="100"/>
  <c r="J46" i="100"/>
  <c r="N46" i="100" s="1"/>
  <c r="L42" i="100"/>
  <c r="J42" i="100"/>
  <c r="N42" i="100" s="1"/>
  <c r="L40" i="100"/>
  <c r="J40" i="100"/>
  <c r="N40" i="100" s="1"/>
  <c r="I40" i="100"/>
  <c r="M40" i="100" s="1"/>
  <c r="N34" i="100" l="1"/>
  <c r="K34" i="100"/>
  <c r="L34" i="100"/>
  <c r="F34" i="100"/>
  <c r="I42" i="100"/>
  <c r="M42" i="100" s="1"/>
  <c r="K42" i="100"/>
  <c r="E46" i="100"/>
  <c r="F46" i="100" s="1"/>
  <c r="K46" i="100"/>
  <c r="K40" i="100"/>
  <c r="F33" i="97"/>
  <c r="F31" i="97"/>
  <c r="F29" i="97"/>
  <c r="F27" i="97"/>
  <c r="F25" i="97"/>
  <c r="F23" i="97"/>
  <c r="F21" i="97"/>
  <c r="F19" i="97"/>
  <c r="F17" i="97"/>
  <c r="F15" i="97"/>
  <c r="F13" i="97"/>
  <c r="F11" i="97"/>
  <c r="L56" i="100"/>
  <c r="K56" i="100"/>
  <c r="J56" i="100"/>
  <c r="N56" i="100" s="1"/>
  <c r="I56" i="100"/>
  <c r="M56" i="100" s="1"/>
  <c r="F56" i="100"/>
  <c r="L52" i="100"/>
  <c r="K52" i="100"/>
  <c r="J52" i="100"/>
  <c r="N52" i="100" s="1"/>
  <c r="I52" i="100"/>
  <c r="M52" i="100" s="1"/>
  <c r="F52" i="100"/>
  <c r="L50" i="100"/>
  <c r="K50" i="100"/>
  <c r="J50" i="100"/>
  <c r="N50" i="100" s="1"/>
  <c r="I50" i="100"/>
  <c r="M50" i="100" s="1"/>
  <c r="F50" i="100"/>
  <c r="L24" i="100"/>
  <c r="K24" i="100"/>
  <c r="J24" i="100"/>
  <c r="N24" i="100" s="1"/>
  <c r="I24" i="100"/>
  <c r="M24" i="100" s="1"/>
  <c r="F24" i="100"/>
  <c r="J22" i="100"/>
  <c r="I22" i="100"/>
  <c r="J20" i="100"/>
  <c r="I20" i="100"/>
  <c r="L18" i="100"/>
  <c r="K18" i="100"/>
  <c r="J18" i="100"/>
  <c r="N18" i="100" s="1"/>
  <c r="I18" i="100"/>
  <c r="M18" i="100" s="1"/>
  <c r="F18" i="100"/>
  <c r="J16" i="100"/>
  <c r="I16" i="100"/>
  <c r="J14" i="100"/>
  <c r="I14" i="100"/>
  <c r="C20" i="100"/>
  <c r="L20" i="100" s="1"/>
  <c r="C14" i="100"/>
  <c r="C16" i="100" s="1"/>
  <c r="C22" i="100" s="1"/>
  <c r="L22" i="100" s="1"/>
  <c r="M14" i="100" l="1"/>
  <c r="N20" i="100"/>
  <c r="L16" i="100"/>
  <c r="K20" i="100"/>
  <c r="F16" i="100"/>
  <c r="A16" i="100" s="1"/>
  <c r="A18" i="100" s="1"/>
  <c r="M22" i="100"/>
  <c r="M16" i="100"/>
  <c r="N22" i="100"/>
  <c r="K14" i="100"/>
  <c r="N16" i="100"/>
  <c r="F20" i="100"/>
  <c r="K22" i="100"/>
  <c r="N14" i="100"/>
  <c r="F14" i="100"/>
  <c r="L14" i="100"/>
  <c r="K16" i="100"/>
  <c r="M20" i="100"/>
  <c r="F22" i="100"/>
  <c r="A20" i="100" l="1"/>
  <c r="A22" i="100" s="1"/>
  <c r="B2" i="95"/>
  <c r="A24" i="100" l="1"/>
  <c r="A26" i="100" s="1"/>
  <c r="N48" i="100"/>
  <c r="N23" i="100"/>
  <c r="N21" i="100"/>
  <c r="N19" i="100"/>
  <c r="N17" i="100"/>
  <c r="N15" i="100"/>
  <c r="N12" i="100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N9" i="100"/>
  <c r="N8" i="100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95" i="100"/>
  <c r="H19" i="97"/>
  <c r="A65" i="97"/>
  <c r="H13" i="97"/>
  <c r="H11" i="97"/>
  <c r="B3" i="95"/>
  <c r="B2" i="100"/>
  <c r="H9" i="97"/>
  <c r="F9" i="97" s="1"/>
  <c r="A28" i="100" l="1"/>
  <c r="A30" i="100" s="1"/>
  <c r="A32" i="100" s="1"/>
  <c r="B3" i="97"/>
  <c r="B3" i="100"/>
  <c r="B2" i="97"/>
  <c r="A34" i="100" l="1"/>
  <c r="A36" i="100" s="1"/>
  <c r="A40" i="100" s="1"/>
  <c r="A42" i="100" s="1"/>
  <c r="A46" i="100" s="1"/>
  <c r="A50" i="100" s="1"/>
  <c r="A52" i="100" s="1"/>
  <c r="A56" i="100" s="1"/>
  <c r="A60" i="100" s="1"/>
  <c r="A62" i="100" s="1"/>
  <c r="A64" i="100" s="1"/>
  <c r="A66" i="100" s="1"/>
  <c r="A68" i="100" s="1"/>
  <c r="A70" i="100" s="1"/>
  <c r="A72" i="100" s="1"/>
  <c r="A74" i="100" s="1"/>
  <c r="A76" i="100" s="1"/>
  <c r="A78" i="100" s="1"/>
  <c r="A80" i="100" s="1"/>
  <c r="A82" i="100" s="1"/>
  <c r="A84" i="100" s="1"/>
  <c r="A88" i="100" s="1"/>
  <c r="A92" i="100" s="1"/>
  <c r="A11" i="97"/>
  <c r="A13" i="97" s="1"/>
  <c r="H23" i="97" l="1"/>
  <c r="H29" i="97" l="1"/>
  <c r="H27" i="97"/>
  <c r="C18" i="109" l="1"/>
  <c r="H15" i="97" l="1"/>
  <c r="H25" i="97"/>
  <c r="A15" i="97" l="1"/>
  <c r="H21" i="97"/>
  <c r="H33" i="97"/>
  <c r="H17" i="97"/>
  <c r="H31" i="97"/>
  <c r="A17" i="97" l="1"/>
  <c r="A19" i="97" s="1"/>
  <c r="D14" i="109"/>
  <c r="A21" i="97" l="1"/>
  <c r="A23" i="97" l="1"/>
  <c r="A25" i="97" s="1"/>
  <c r="A27" i="97" s="1"/>
  <c r="A29" i="97" s="1"/>
  <c r="A31" i="97" s="1"/>
  <c r="A33" i="97" l="1"/>
  <c r="F8" i="109" l="1"/>
  <c r="I8" i="109"/>
  <c r="I12" i="109" s="1"/>
  <c r="H8" i="109"/>
  <c r="H12" i="109" s="1"/>
  <c r="G8" i="109"/>
  <c r="G12" i="109" s="1"/>
  <c r="F12" i="109" l="1"/>
  <c r="K4" i="111" l="1"/>
  <c r="D8" i="109"/>
  <c r="D12" i="109" l="1"/>
  <c r="D16" i="109" s="1"/>
  <c r="L19" i="111"/>
  <c r="L13" i="111"/>
  <c r="L7" i="111"/>
  <c r="L11" i="111"/>
  <c r="L25" i="111"/>
  <c r="L9" i="111"/>
  <c r="L21" i="111"/>
  <c r="L15" i="111"/>
  <c r="L17" i="111"/>
  <c r="L23" i="111"/>
  <c r="K27" i="111" l="1"/>
  <c r="M5" i="111" s="1"/>
  <c r="K2" i="111"/>
</calcChain>
</file>

<file path=xl/sharedStrings.xml><?xml version="1.0" encoding="utf-8"?>
<sst xmlns="http://schemas.openxmlformats.org/spreadsheetml/2006/main" count="262" uniqueCount="185">
  <si>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</si>
  <si>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</si>
  <si>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</si>
  <si>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</si>
  <si>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</si>
  <si>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</si>
  <si>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</si>
  <si>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</si>
  <si>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</si>
  <si>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</si>
  <si>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</si>
  <si>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</si>
  <si>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</si>
  <si>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</si>
  <si>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Substructure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</si>
  <si>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</si>
  <si>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</si>
  <si>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</si>
  <si>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</si>
  <si>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</si>
  <si>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</si>
  <si>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</si>
  <si>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</si>
  <si>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</si>
  <si>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</si>
  <si>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</si>
  <si>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m3</t>
  </si>
  <si>
    <t>Cart away spoil (assume clean and inert)</t>
  </si>
  <si>
    <t>Rubbish removal; skips</t>
  </si>
  <si>
    <t>REDUCE LEVELS</t>
  </si>
  <si>
    <t>Item</t>
  </si>
  <si>
    <t>Health &amp; safety</t>
  </si>
  <si>
    <t>Insurance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</si>
  <si>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</si>
  <si>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</si>
  <si>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</si>
  <si>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</si>
  <si>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</si>
  <si>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</si>
  <si>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</si>
  <si>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</si>
  <si>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</si>
  <si>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</si>
  <si>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</si>
  <si>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</si>
  <si>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</si>
  <si>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</si>
  <si>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</si>
  <si>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</si>
  <si>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</si>
  <si>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</si>
  <si>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</si>
  <si>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</si>
  <si>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</si>
  <si>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</si>
  <si>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</si>
  <si>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</si>
  <si>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</si>
  <si>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</si>
  <si>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</si>
  <si>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</si>
  <si>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</si>
  <si>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</si>
  <si>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</si>
  <si>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</si>
  <si>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</si>
  <si>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</si>
  <si>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</si>
  <si>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</si>
  <si>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</si>
  <si>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</si>
  <si>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</si>
  <si>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</si>
  <si>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</si>
  <si>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</si>
  <si>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</si>
  <si>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</si>
  <si>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</si>
  <si>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</si>
  <si>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</si>
  <si>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</si>
  <si>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</si>
  <si>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</si>
  <si>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</si>
  <si>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</si>
  <si>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</si>
  <si>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</si>
  <si>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</si>
  <si>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</si>
  <si>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</si>
  <si>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</si>
  <si>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</si>
  <si>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</si>
  <si>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</si>
  <si>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</si>
  <si>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</si>
  <si>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</si>
  <si>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</si>
  <si>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</si>
  <si>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</si>
  <si>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</si>
  <si>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</si>
  <si>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</si>
  <si>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</si>
  <si>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</si>
  <si>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</si>
  <si>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</si>
  <si>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</si>
  <si>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</si>
  <si>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</si>
  <si>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</si>
  <si>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</si>
  <si>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</si>
  <si>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</si>
  <si>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</si>
  <si>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</si>
  <si>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</si>
  <si>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</si>
  <si>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</si>
  <si>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</si>
  <si>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</si>
  <si>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</si>
  <si>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</si>
  <si>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</si>
  <si>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</si>
  <si>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</si>
  <si>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</si>
  <si>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</si>
  <si>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</si>
  <si>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</si>
  <si>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</si>
  <si>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</si>
  <si>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</si>
  <si>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</si>
  <si>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</si>
  <si>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</si>
  <si>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</si>
  <si>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BELOW GROUND DRAINAGE PIPEWORK</t>
  </si>
  <si>
    <t>Excavate for below ground drainage runs</t>
  </si>
  <si>
    <t>Backfilling with selected fill</t>
  </si>
  <si>
    <t>Extra over for bends and junctions as required (provisional sum)</t>
  </si>
  <si>
    <t>DRAINAGE SUNDRIES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</si>
  <si>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</si>
  <si>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</si>
  <si>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</si>
  <si>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</si>
  <si>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</si>
  <si>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</si>
  <si>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</si>
  <si>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</si>
  <si>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</si>
  <si>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150mm Bed and surround; Shingle</t>
  </si>
  <si>
    <t>Connection into existing (provisional sum)</t>
  </si>
  <si>
    <t>Rainwater pipe connection with below ground drainage</t>
  </si>
  <si>
    <t>TENDER</t>
  </si>
  <si>
    <t>FITTINGS</t>
  </si>
  <si>
    <t>Wye Elbow</t>
  </si>
  <si>
    <t>ACCESSORIES</t>
  </si>
  <si>
    <t xml:space="preserve">(100mm Dia ) SW Drainage Line </t>
  </si>
  <si>
    <t>(100mm Dia) FW Drainage Line</t>
  </si>
  <si>
    <t>Tee</t>
  </si>
  <si>
    <t xml:space="preserve">Rodding Eye </t>
  </si>
  <si>
    <t xml:space="preserve">Trench Drain </t>
  </si>
  <si>
    <t>DRAIN</t>
  </si>
  <si>
    <t>INSPECTION CHAMBER</t>
  </si>
  <si>
    <t>SWC01 - (450mm Dia) PPIC Sewer Waste Inspection Chamber</t>
  </si>
  <si>
    <t>SWC02 - (450mm Dia) PPIC Sewer Waste Inspection Chamber</t>
  </si>
  <si>
    <t>SWC03 - (450mm Dia) PPIC Sewer Waste Inspection Chamber</t>
  </si>
  <si>
    <t>SWC04 - (450mm Dia) PPIC Sewer Waste Inspection Chamber</t>
  </si>
  <si>
    <t>SWC05 - (450mm Dia) PPIC Sewer Waste Inspection Chamber</t>
  </si>
  <si>
    <t>SWC06 - (450mm Dia) PPIC Sewer Waste Inspection Chamber</t>
  </si>
  <si>
    <t>(1200mm Dia) PPC Sewer Waste Inspection Chamber</t>
  </si>
  <si>
    <t>(450mm Dia) PPIC Sewer Waste Inspection Chamber</t>
  </si>
  <si>
    <t>FWC01 - (450mm Dia) PPIC Foul Waste Inspection Chamber</t>
  </si>
  <si>
    <t>FWC02 - (450mm Dia) PPIC Foul Waste Inspection Chamber</t>
  </si>
  <si>
    <t>FWC03 - (450mm Dia) PPIC Foul Waste Inspection Chamber</t>
  </si>
  <si>
    <t>FWC04 - (450mm Dia) PPIC Foul Waste Inspection Chamber</t>
  </si>
  <si>
    <t>FWC05 - (450mm Dia) PPIC Foul Waste Inspection Chamber</t>
  </si>
  <si>
    <t xml:space="preserve">Surface Water Soakaway </t>
  </si>
  <si>
    <t>SOAKAWAY</t>
  </si>
  <si>
    <t xml:space="preserve">(600mm Dia) PPIC Disconnectiong Manhole </t>
  </si>
  <si>
    <t>MANHOLE</t>
  </si>
  <si>
    <t>DRAINAGE WORK</t>
  </si>
  <si>
    <t xml:space="preserve">PROJECT: Rothiemurchus </t>
  </si>
  <si>
    <t>DATE: 28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</si>
</sst>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£&quot;* #,##0.00_);_(&quot;£&quot;* \(#,##0.00\);_(&quot;£&quot;* &quot;-&quot;??_);_(@_)"/>
    <numFmt numFmtId="165" formatCode="&quot;£&quot;#,##0.00"/>
    <numFmt numFmtId="166" formatCode="\ * #,##0.00\ ;&quot;-&quot;* #,##0.00\ ;\ * &quot;-&quot;??\ "/>
    <numFmt numFmtId="167" formatCode="0.000"/>
  </numFmts>
  <fonts count="5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79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5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5" fontId="13" fillId="0" borderId="2" xfId="0" applyNumberFormat="1" applyFont="1" applyBorder="1" applyAlignment="1">
      <alignment horizontal="center"/>
    </xf>
    <xf numFmtId="165" fontId="13" fillId="0" borderId="3" xfId="0" applyNumberFormat="1" applyFont="1" applyBorder="1" applyAlignment="1">
      <alignment horizontal="center"/>
    </xf>
    <xf numFmtId="165" fontId="13" fillId="0" borderId="7" xfId="0" applyNumberFormat="1" applyFont="1" applyBorder="1" applyAlignment="1">
      <alignment horizontal="center"/>
    </xf>
    <xf numFmtId="165" fontId="13" fillId="0" borderId="0" xfId="0" applyNumberFormat="1" applyFont="1"/>
    <xf numFmtId="165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5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5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5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5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5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5" fontId="16" fillId="0" borderId="0" xfId="0" applyNumberFormat="1" applyFont="1"/>
    <xf numFmtId="165" fontId="16" fillId="0" borderId="5" xfId="0" applyNumberFormat="1" applyFont="1" applyBorder="1" applyAlignment="1">
      <alignment horizontal="center"/>
    </xf>
    <xf numFmtId="165" fontId="16" fillId="0" borderId="4" xfId="0" applyNumberFormat="1" applyFont="1" applyBorder="1" applyAlignment="1">
      <alignment horizontal="center"/>
    </xf>
    <xf numFmtId="165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5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8" applyNumberFormat="1" applyFill="1" applyAlignment="1">
      <alignment horizontal="left"/>
    </xf>
    <xf numFmtId="2" fontId="29" fillId="0" borderId="0" xfId="7" applyNumberFormat="1" applyFont="1" applyAlignment="1">
      <alignment horizontal="center"/>
    </xf>
    <xf numFmtId="165" fontId="29" fillId="0" borderId="7" xfId="7" applyNumberFormat="1" applyFont="1" applyBorder="1" applyAlignment="1">
      <alignment horizontal="center"/>
    </xf>
    <xf numFmtId="165" fontId="29" fillId="0" borderId="6" xfId="7" applyNumberFormat="1" applyFont="1" applyBorder="1" applyAlignment="1">
      <alignment horizontal="center"/>
    </xf>
    <xf numFmtId="165" fontId="29" fillId="0" borderId="0" xfId="7" applyNumberFormat="1" applyFont="1"/>
    <xf numFmtId="0" fontId="29" fillId="0" borderId="0" xfId="7" applyFont="1"/>
    <xf numFmtId="165" fontId="29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3" fillId="0" borderId="0" xfId="4" applyFont="1"/>
    <xf numFmtId="0" fontId="32" fillId="0" borderId="0" xfId="4" applyFont="1" applyAlignment="1">
      <alignment wrapText="1"/>
    </xf>
    <xf numFmtId="0" fontId="27" fillId="2" borderId="9" xfId="4" applyFont="1" applyFill="1" applyBorder="1" applyAlignment="1">
      <alignment vertical="center" wrapText="1"/>
    </xf>
    <xf numFmtId="0" fontId="27" fillId="2" borderId="11" xfId="4" applyFont="1" applyFill="1" applyBorder="1" applyAlignment="1">
      <alignment vertical="center" wrapText="1"/>
    </xf>
    <xf numFmtId="167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3" fillId="0" borderId="0" xfId="7" applyFont="1"/>
    <xf numFmtId="0" fontId="34" fillId="0" borderId="0" xfId="0" applyFont="1"/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7" applyFont="1" applyFill="1" applyBorder="1" applyAlignment="1">
      <alignment vertical="center"/>
    </xf>
    <xf numFmtId="2" fontId="31" fillId="2" borderId="10" xfId="7" applyNumberFormat="1" applyFont="1" applyFill="1" applyBorder="1" applyAlignment="1">
      <alignment horizontal="center" vertical="center"/>
    </xf>
    <xf numFmtId="165" fontId="31" fillId="2" borderId="11" xfId="1" applyNumberFormat="1" applyFont="1" applyFill="1" applyBorder="1" applyAlignment="1">
      <alignment horizontal="center" vertical="center"/>
    </xf>
    <xf numFmtId="165" fontId="29" fillId="0" borderId="0" xfId="7" applyNumberFormat="1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8" xfId="7" applyFont="1" applyBorder="1"/>
    <xf numFmtId="165" fontId="30" fillId="0" borderId="7" xfId="1" applyNumberFormat="1" applyFont="1" applyBorder="1" applyAlignment="1">
      <alignment horizontal="center"/>
    </xf>
    <xf numFmtId="10" fontId="29" fillId="0" borderId="0" xfId="7" applyNumberFormat="1" applyFont="1" applyAlignment="1">
      <alignment horizontal="center"/>
    </xf>
    <xf numFmtId="0" fontId="31" fillId="2" borderId="9" xfId="7" applyFont="1" applyFill="1" applyBorder="1" applyAlignment="1">
      <alignment vertical="center" wrapText="1"/>
    </xf>
    <xf numFmtId="0" fontId="31" fillId="0" borderId="1" xfId="7" applyFont="1" applyBorder="1" applyAlignment="1">
      <alignment vertical="center" wrapText="1"/>
    </xf>
    <xf numFmtId="2" fontId="31" fillId="0" borderId="2" xfId="7" applyNumberFormat="1" applyFont="1" applyBorder="1" applyAlignment="1">
      <alignment horizontal="center" vertical="center"/>
    </xf>
    <xf numFmtId="165" fontId="31" fillId="0" borderId="3" xfId="1" applyNumberFormat="1" applyFont="1" applyFill="1" applyBorder="1" applyAlignment="1">
      <alignment horizontal="center" vertical="center"/>
    </xf>
    <xf numFmtId="0" fontId="29" fillId="0" borderId="8" xfId="7" applyFont="1" applyBorder="1" applyAlignment="1">
      <alignment horizontal="left" vertical="center" wrapText="1" indent="2"/>
    </xf>
    <xf numFmtId="2" fontId="29" fillId="0" borderId="0" xfId="7" applyNumberFormat="1" applyFont="1" applyAlignment="1">
      <alignment horizontal="center" vertical="center"/>
    </xf>
    <xf numFmtId="165" fontId="29" fillId="0" borderId="7" xfId="1" applyNumberFormat="1" applyFont="1" applyFill="1" applyBorder="1" applyAlignment="1">
      <alignment horizontal="center" vertical="center"/>
    </xf>
    <xf numFmtId="0" fontId="29" fillId="0" borderId="4" xfId="7" applyFont="1" applyBorder="1"/>
    <xf numFmtId="2" fontId="29" fillId="0" borderId="5" xfId="7" applyNumberFormat="1" applyFont="1" applyBorder="1" applyAlignment="1">
      <alignment horizontal="center"/>
    </xf>
    <xf numFmtId="0" fontId="29" fillId="0" borderId="0" xfId="7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5" fontId="29" fillId="0" borderId="0" xfId="1" applyNumberFormat="1" applyFont="1" applyFill="1" applyBorder="1" applyAlignment="1">
      <alignment horizontal="center"/>
    </xf>
    <xf numFmtId="0" fontId="29" fillId="0" borderId="0" xfId="7" applyFont="1" applyAlignment="1">
      <alignment wrapText="1"/>
    </xf>
    <xf numFmtId="0" fontId="36" fillId="0" borderId="0" xfId="7" applyFont="1" applyAlignment="1">
      <alignment wrapText="1"/>
    </xf>
    <xf numFmtId="2" fontId="36" fillId="0" borderId="0" xfId="7" applyNumberFormat="1" applyFont="1" applyAlignment="1">
      <alignment horizontal="center" wrapText="1"/>
    </xf>
    <xf numFmtId="165" fontId="36" fillId="0" borderId="0" xfId="1" applyNumberFormat="1" applyFont="1" applyFill="1" applyBorder="1" applyAlignment="1">
      <alignment horizontal="center"/>
    </xf>
    <xf numFmtId="0" fontId="31" fillId="0" borderId="0" xfId="7" applyFont="1" applyAlignment="1">
      <alignment wrapText="1"/>
    </xf>
    <xf numFmtId="2" fontId="36" fillId="0" borderId="0" xfId="7" applyNumberFormat="1" applyFont="1" applyAlignment="1">
      <alignment horizontal="center"/>
    </xf>
    <xf numFmtId="165" fontId="31" fillId="0" borderId="0" xfId="7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20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6" fontId="23" fillId="0" borderId="0" xfId="0" applyNumberFormat="1" applyFont="1" applyAlignment="1">
      <alignment wrapText="1"/>
    </xf>
    <xf numFmtId="0" fontId="22" fillId="0" borderId="4" xfId="0" applyFont="1" applyBorder="1" applyAlignment="1">
      <alignment horizontal="center"/>
    </xf>
    <xf numFmtId="166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165" fontId="16" fillId="0" borderId="0" xfId="0" applyNumberFormat="1" applyFont="1" applyAlignment="1">
      <alignment horizontal="right"/>
    </xf>
    <xf numFmtId="165" fontId="13" fillId="0" borderId="6" xfId="0" applyNumberFormat="1" applyFont="1" applyBorder="1" applyAlignment="1">
      <alignment horizontal="center"/>
    </xf>
    <xf numFmtId="0" fontId="37" fillId="2" borderId="9" xfId="0" applyFont="1" applyFill="1" applyBorder="1" applyAlignment="1">
      <alignment horizontal="center"/>
    </xf>
    <xf numFmtId="2" fontId="37" fillId="2" borderId="10" xfId="0" applyNumberFormat="1" applyFont="1" applyFill="1" applyBorder="1" applyAlignment="1">
      <alignment horizontal="center"/>
    </xf>
    <xf numFmtId="0" fontId="37" fillId="2" borderId="10" xfId="0" applyFont="1" applyFill="1" applyBorder="1"/>
    <xf numFmtId="165" fontId="14" fillId="2" borderId="10" xfId="0" applyNumberFormat="1" applyFont="1" applyFill="1" applyBorder="1"/>
    <xf numFmtId="0" fontId="38" fillId="2" borderId="10" xfId="0" applyFont="1" applyFill="1" applyBorder="1" applyAlignment="1">
      <alignment horizontal="left" vertical="center"/>
    </xf>
    <xf numFmtId="165" fontId="29" fillId="0" borderId="8" xfId="7" applyNumberFormat="1" applyFont="1" applyBorder="1" applyAlignment="1">
      <alignment horizontal="center" vertical="center"/>
    </xf>
    <xf numFmtId="165" fontId="29" fillId="0" borderId="7" xfId="7" applyNumberFormat="1" applyFont="1" applyBorder="1" applyAlignment="1">
      <alignment horizontal="center" vertical="center"/>
    </xf>
    <xf numFmtId="165" fontId="14" fillId="2" borderId="11" xfId="0" applyNumberFormat="1" applyFont="1" applyFill="1" applyBorder="1"/>
    <xf numFmtId="165" fontId="16" fillId="0" borderId="7" xfId="0" applyNumberFormat="1" applyFont="1" applyBorder="1"/>
    <xf numFmtId="165" fontId="17" fillId="0" borderId="7" xfId="0" applyNumberFormat="1" applyFont="1" applyBorder="1" applyAlignment="1">
      <alignment horizontal="center"/>
    </xf>
    <xf numFmtId="165" fontId="16" fillId="0" borderId="7" xfId="0" applyNumberFormat="1" applyFont="1" applyBorder="1" applyAlignment="1">
      <alignment horizontal="center"/>
    </xf>
    <xf numFmtId="165" fontId="17" fillId="0" borderId="12" xfId="0" applyNumberFormat="1" applyFont="1" applyBorder="1" applyAlignment="1">
      <alignment horizontal="center"/>
    </xf>
    <xf numFmtId="165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165" fontId="31" fillId="2" borderId="9" xfId="7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5" fontId="13" fillId="2" borderId="10" xfId="0" applyNumberFormat="1" applyFont="1" applyFill="1" applyBorder="1"/>
    <xf numFmtId="165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29" fillId="0" borderId="0" xfId="7" applyFont="1" applyAlignment="1">
      <alignment horizontal="center" vertical="center"/>
    </xf>
    <xf numFmtId="0" fontId="29" fillId="0" borderId="7" xfId="7" applyFont="1" applyBorder="1" applyAlignment="1">
      <alignment horizontal="center" vertical="center"/>
    </xf>
    <xf numFmtId="165" fontId="29" fillId="0" borderId="4" xfId="7" applyNumberFormat="1" applyFont="1" applyBorder="1" applyAlignment="1">
      <alignment horizontal="center" vertical="center"/>
    </xf>
    <xf numFmtId="165" fontId="29" fillId="0" borderId="5" xfId="7" applyNumberFormat="1" applyFont="1" applyBorder="1" applyAlignment="1">
      <alignment horizontal="center" vertical="center"/>
    </xf>
    <xf numFmtId="0" fontId="29" fillId="0" borderId="6" xfId="7" applyFont="1" applyBorder="1" applyAlignment="1">
      <alignment horizontal="center" vertical="center"/>
    </xf>
    <xf numFmtId="165" fontId="31" fillId="0" borderId="7" xfId="7" applyNumberFormat="1" applyFont="1" applyBorder="1" applyAlignment="1">
      <alignment horizontal="center" vertical="center"/>
    </xf>
    <xf numFmtId="165" fontId="29" fillId="3" borderId="8" xfId="7" applyNumberFormat="1" applyFont="1" applyFill="1" applyBorder="1" applyAlignment="1">
      <alignment horizontal="center" vertical="center"/>
    </xf>
    <xf numFmtId="165" fontId="29" fillId="4" borderId="0" xfId="7" applyNumberFormat="1" applyFont="1" applyFill="1" applyAlignment="1">
      <alignment horizontal="center" vertical="center"/>
    </xf>
    <xf numFmtId="165" fontId="31" fillId="4" borderId="0" xfId="7" applyNumberFormat="1" applyFont="1" applyFill="1" applyAlignment="1">
      <alignment horizontal="center" vertical="center"/>
    </xf>
    <xf numFmtId="165" fontId="31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5" fontId="17" fillId="0" borderId="14" xfId="0" applyNumberFormat="1" applyFont="1" applyBorder="1" applyAlignment="1">
      <alignment horizontal="center"/>
    </xf>
    <xf numFmtId="165" fontId="17" fillId="0" borderId="15" xfId="0" applyNumberFormat="1" applyFont="1" applyBorder="1" applyAlignment="1">
      <alignment horizontal="center"/>
    </xf>
    <xf numFmtId="165" fontId="16" fillId="0" borderId="8" xfId="0" applyNumberFormat="1" applyFont="1" applyBorder="1"/>
    <xf numFmtId="0" fontId="39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5" fontId="8" fillId="0" borderId="7" xfId="0" applyNumberFormat="1" applyFont="1" applyBorder="1" applyAlignment="1">
      <alignment horizontal="center"/>
    </xf>
    <xf numFmtId="165" fontId="31" fillId="0" borderId="0" xfId="7" applyNumberFormat="1" applyFont="1" applyAlignment="1">
      <alignment horizontal="center" vertical="center"/>
    </xf>
    <xf numFmtId="0" fontId="31" fillId="0" borderId="7" xfId="7" applyFont="1" applyBorder="1" applyAlignment="1">
      <alignment horizontal="center" vertical="center"/>
    </xf>
    <xf numFmtId="0" fontId="29" fillId="0" borderId="5" xfId="7" applyFont="1" applyBorder="1" applyAlignment="1">
      <alignment horizontal="center" vertical="center"/>
    </xf>
    <xf numFmtId="0" fontId="25" fillId="0" borderId="0" xfId="0" applyFont="1" applyAlignment="1">
      <alignment horizontal="left" vertical="top"/>
    </xf>
    <xf numFmtId="0" fontId="0" fillId="0" borderId="0" xfId="0" applyProtection="1">
      <protection locked="0"/>
    </xf>
    <xf numFmtId="0" fontId="28" fillId="2" borderId="9" xfId="7" applyFont="1" applyFill="1" applyBorder="1" applyAlignment="1" applyProtection="1">
      <alignment horizontal="center" vertical="center"/>
      <protection locked="0"/>
    </xf>
    <xf numFmtId="0" fontId="28" fillId="2" borderId="10" xfId="7" applyFont="1" applyFill="1" applyBorder="1" applyAlignment="1" applyProtection="1">
      <alignment horizontal="center" vertical="center"/>
      <protection locked="0"/>
    </xf>
    <xf numFmtId="0" fontId="28" fillId="2" borderId="11" xfId="7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7" applyNumberFormat="1" applyFont="1" applyAlignment="1" applyProtection="1">
      <alignment horizontal="center"/>
      <protection locked="0"/>
    </xf>
    <xf numFmtId="0" fontId="41" fillId="0" borderId="0" xfId="7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5" fontId="29" fillId="0" borderId="7" xfId="7" applyNumberFormat="1" applyFont="1" applyBorder="1" applyAlignment="1" applyProtection="1">
      <alignment horizontal="center"/>
      <protection locked="0"/>
    </xf>
    <xf numFmtId="0" fontId="31" fillId="2" borderId="8" xfId="7" applyFont="1" applyFill="1" applyBorder="1" applyAlignment="1" applyProtection="1">
      <alignment vertical="center"/>
      <protection locked="0"/>
    </xf>
    <xf numFmtId="10" fontId="31" fillId="2" borderId="0" xfId="7" applyNumberFormat="1" applyFont="1" applyFill="1" applyAlignment="1" applyProtection="1">
      <alignment horizontal="center"/>
      <protection locked="0"/>
    </xf>
    <xf numFmtId="2" fontId="42" fillId="2" borderId="0" xfId="7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5" fontId="29" fillId="2" borderId="7" xfId="7" applyNumberFormat="1" applyFont="1" applyFill="1" applyBorder="1" applyAlignment="1" applyProtection="1">
      <alignment horizontal="center"/>
      <protection locked="0"/>
    </xf>
    <xf numFmtId="0" fontId="31" fillId="0" borderId="8" xfId="7" applyFont="1" applyBorder="1" applyAlignment="1" applyProtection="1">
      <alignment vertical="center"/>
      <protection locked="0"/>
    </xf>
    <xf numFmtId="10" fontId="31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7" applyFont="1" applyFill="1" applyBorder="1" applyAlignment="1" applyProtection="1">
      <alignment vertical="center"/>
      <protection locked="0"/>
    </xf>
    <xf numFmtId="10" fontId="31" fillId="2" borderId="5" xfId="7" applyNumberFormat="1" applyFont="1" applyFill="1" applyBorder="1" applyAlignment="1" applyProtection="1">
      <alignment horizontal="center"/>
      <protection locked="0"/>
    </xf>
    <xf numFmtId="2" fontId="42" fillId="2" borderId="5" xfId="7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5" fontId="29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5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4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4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4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5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5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5" fontId="48" fillId="0" borderId="0" xfId="7" applyNumberFormat="1" applyFont="1" applyProtection="1">
      <protection locked="0"/>
    </xf>
    <xf numFmtId="0" fontId="48" fillId="0" borderId="0" xfId="7" applyFont="1" applyProtection="1">
      <protection locked="0"/>
    </xf>
    <xf numFmtId="0" fontId="48" fillId="0" borderId="0" xfId="7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5" fontId="50" fillId="0" borderId="0" xfId="7" applyNumberFormat="1" applyFont="1" applyProtection="1">
      <protection locked="0"/>
    </xf>
    <xf numFmtId="0" fontId="50" fillId="0" borderId="0" xfId="7" applyFont="1" applyProtection="1">
      <protection locked="0"/>
    </xf>
    <xf numFmtId="165" fontId="48" fillId="0" borderId="0" xfId="7" applyNumberFormat="1" applyFont="1" applyAlignment="1" applyProtection="1">
      <alignment horizontal="center"/>
      <protection locked="0"/>
    </xf>
    <xf numFmtId="0" fontId="44" fillId="0" borderId="0" xfId="0" applyFont="1"/>
    <xf numFmtId="165" fontId="45" fillId="0" borderId="0" xfId="7" applyNumberFormat="1" applyFont="1" applyAlignment="1">
      <alignment horizontal="center"/>
    </xf>
    <xf numFmtId="0" fontId="45" fillId="0" borderId="0" xfId="7" applyFont="1"/>
    <xf numFmtId="165" fontId="45" fillId="0" borderId="0" xfId="7" applyNumberFormat="1" applyFont="1"/>
    <xf numFmtId="0" fontId="44" fillId="0" borderId="0" xfId="0" applyFont="1" applyAlignment="1">
      <alignment horizontal="center"/>
    </xf>
    <xf numFmtId="0" fontId="45" fillId="0" borderId="0" xfId="7" applyFont="1" applyAlignment="1">
      <alignment horizontal="center"/>
    </xf>
    <xf numFmtId="165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165" fontId="31" fillId="2" borderId="9" xfId="7" applyNumberFormat="1" applyFont="1" applyFill="1" applyBorder="1" applyAlignment="1">
      <alignment horizontal="center" vertical="center"/>
    </xf>
    <xf numFmtId="165" fontId="31" fillId="2" borderId="10" xfId="7" applyNumberFormat="1" applyFont="1" applyFill="1" applyBorder="1" applyAlignment="1">
      <alignment horizontal="center" vertical="center"/>
    </xf>
    <xf numFmtId="165" fontId="31" fillId="2" borderId="11" xfId="7" applyNumberFormat="1" applyFont="1" applyFill="1" applyBorder="1" applyAlignment="1">
      <alignment horizontal="center" vertical="center"/>
    </xf>
    <xf numFmtId="0" fontId="28" fillId="2" borderId="9" xfId="7" applyFont="1" applyFill="1" applyBorder="1" applyAlignment="1">
      <alignment horizontal="center" vertical="center"/>
    </xf>
    <xf numFmtId="0" fontId="28" fillId="2" borderId="10" xfId="7" applyFont="1" applyFill="1" applyBorder="1" applyAlignment="1">
      <alignment horizontal="center" vertical="center"/>
    </xf>
    <xf numFmtId="0" fontId="28" fillId="2" borderId="11" xfId="7" applyFont="1" applyFill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13"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abSelected="1" zoomScale="58" zoomScaleNormal="55" workbookViewId="0">
      <selection activeCell="P55" sqref="P55"/>
    </sheetView>
  </sheetViews>
  <sheetFormatPr baseColWidth="10" defaultColWidth="9.1640625" defaultRowHeight="13" x14ac:dyDescent="0.15"/>
  <cols>
    <col min="1" max="4" width="9.1640625" style="7"/>
    <col min="5" max="7" width="10.1640625" style="7" customWidth="1"/>
    <col min="8" max="12" width="9.1640625" style="7"/>
    <col min="13" max="13" width="2.6640625" style="7" customWidth="1"/>
    <col min="14" max="16384" width="9.1640625" style="7"/>
  </cols>
  <sheetData>
    <row r="1" spans="1:12" ht="15" customHeight="1" x14ac:dyDescent="0.1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15">
      <c r="A2" s="8"/>
      <c r="K2" s="9"/>
      <c r="L2" s="10"/>
    </row>
    <row r="3" spans="1:12" ht="15" customHeight="1" x14ac:dyDescent="0.15">
      <c r="A3" s="8"/>
      <c r="K3" s="9"/>
      <c r="L3" s="10"/>
    </row>
    <row r="4" spans="1:12" ht="15" customHeight="1" x14ac:dyDescent="0.15">
      <c r="A4" s="8"/>
      <c r="K4" s="9"/>
      <c r="L4" s="10"/>
    </row>
    <row r="5" spans="1:12" ht="15" customHeight="1" x14ac:dyDescent="0.15">
      <c r="A5" s="8"/>
      <c r="K5" s="9"/>
      <c r="L5" s="10"/>
    </row>
    <row r="6" spans="1:12" ht="15" customHeight="1" x14ac:dyDescent="0.15">
      <c r="A6" s="8"/>
      <c r="K6" s="9"/>
      <c r="L6" s="10"/>
    </row>
    <row r="7" spans="1:12" ht="15" customHeight="1" x14ac:dyDescent="0.15">
      <c r="A7" s="8"/>
      <c r="K7" s="9"/>
      <c r="L7" s="10"/>
    </row>
    <row r="8" spans="1:12" ht="15" customHeight="1" x14ac:dyDescent="0.15">
      <c r="A8" s="8"/>
      <c r="K8" s="9"/>
      <c r="L8" s="10"/>
    </row>
    <row r="9" spans="1:12" ht="15" customHeight="1" x14ac:dyDescent="0.15">
      <c r="A9" s="8"/>
      <c r="K9" s="9"/>
      <c r="L9" s="10"/>
    </row>
    <row r="10" spans="1:12" ht="15" customHeight="1" x14ac:dyDescent="0.15">
      <c r="A10" s="8"/>
      <c r="K10" s="9"/>
      <c r="L10" s="10"/>
    </row>
    <row r="11" spans="1:12" ht="15" customHeight="1" x14ac:dyDescent="0.15">
      <c r="A11" s="8"/>
      <c r="L11" s="10"/>
    </row>
    <row r="12" spans="1:12" ht="15" customHeight="1" x14ac:dyDescent="0.15">
      <c r="A12" s="8"/>
      <c r="L12" s="10"/>
    </row>
    <row r="13" spans="1:12" ht="15" customHeight="1" x14ac:dyDescent="0.15">
      <c r="A13" s="8"/>
      <c r="L13" s="10"/>
    </row>
    <row r="14" spans="1:12" ht="15" customHeight="1" x14ac:dyDescent="0.15">
      <c r="A14" s="8"/>
      <c r="L14" s="10"/>
    </row>
    <row r="15" spans="1:12" ht="15" customHeight="1" x14ac:dyDescent="0.2">
      <c r="A15" s="8"/>
      <c r="F15" s="17"/>
      <c r="L15" s="10"/>
    </row>
    <row r="16" spans="1:12" ht="15" customHeight="1" x14ac:dyDescent="0.15">
      <c r="A16" s="8"/>
      <c r="L16" s="10"/>
    </row>
    <row r="17" spans="1:12" ht="15" customHeight="1" x14ac:dyDescent="0.15">
      <c r="A17" s="8"/>
      <c r="L17" s="10"/>
    </row>
    <row r="18" spans="1:12" ht="15" customHeight="1" x14ac:dyDescent="0.15">
      <c r="A18" s="8"/>
      <c r="L18" s="10"/>
    </row>
    <row r="19" spans="1:12" ht="15" customHeight="1" x14ac:dyDescent="0.15">
      <c r="A19" s="8"/>
      <c r="L19" s="10"/>
    </row>
    <row r="20" spans="1:12" ht="15" customHeight="1" x14ac:dyDescent="0.15">
      <c r="A20" s="8"/>
      <c r="L20" s="10"/>
    </row>
    <row r="21" spans="1:12" ht="15" customHeight="1" x14ac:dyDescent="0.15">
      <c r="A21" s="8"/>
      <c r="L21" s="10"/>
    </row>
    <row r="22" spans="1:12" ht="15" customHeight="1" x14ac:dyDescent="0.15">
      <c r="A22" s="8"/>
      <c r="L22" s="10"/>
    </row>
    <row r="23" spans="1:12" ht="15" customHeight="1" thickBot="1" x14ac:dyDescent="0.2">
      <c r="A23" s="8"/>
      <c r="L23" s="10"/>
    </row>
    <row r="24" spans="1:12" ht="15" customHeight="1" x14ac:dyDescent="0.15">
      <c r="A24" s="8"/>
      <c r="B24" s="258" t="s">
        <v>154</v>
      </c>
      <c r="C24" s="259"/>
      <c r="D24" s="259"/>
      <c r="E24" s="259"/>
      <c r="F24" s="259"/>
      <c r="G24" s="259"/>
      <c r="H24" s="259"/>
      <c r="I24" s="259"/>
      <c r="J24" s="259"/>
      <c r="K24" s="260"/>
      <c r="L24" s="10"/>
    </row>
    <row r="25" spans="1:12" ht="15" customHeight="1" thickBot="1" x14ac:dyDescent="0.2">
      <c r="A25" s="8"/>
      <c r="B25" s="261"/>
      <c r="C25" s="262"/>
      <c r="D25" s="262"/>
      <c r="E25" s="262"/>
      <c r="F25" s="262"/>
      <c r="G25" s="262"/>
      <c r="H25" s="262"/>
      <c r="I25" s="262"/>
      <c r="J25" s="262"/>
      <c r="K25" s="263"/>
      <c r="L25" s="10"/>
    </row>
    <row r="26" spans="1:12" ht="15" customHeight="1" x14ac:dyDescent="0.1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1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1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15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2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15">
      <c r="A31" s="8"/>
      <c r="B31" s="258" t="s">
        <v>4</v>
      </c>
      <c r="C31" s="259"/>
      <c r="D31" s="259"/>
      <c r="E31" s="259"/>
      <c r="F31" s="259"/>
      <c r="G31" s="259"/>
      <c r="H31" s="259"/>
      <c r="I31" s="259"/>
      <c r="J31" s="259"/>
      <c r="K31" s="260"/>
      <c r="L31" s="10"/>
    </row>
    <row r="32" spans="1:12" ht="15" customHeight="1" thickBot="1" x14ac:dyDescent="0.2">
      <c r="A32" s="8"/>
      <c r="B32" s="261"/>
      <c r="C32" s="262"/>
      <c r="D32" s="262"/>
      <c r="E32" s="262"/>
      <c r="F32" s="262"/>
      <c r="G32" s="262"/>
      <c r="H32" s="262"/>
      <c r="I32" s="262"/>
      <c r="J32" s="262"/>
      <c r="K32" s="263"/>
      <c r="L32" s="10"/>
    </row>
    <row r="33" spans="1:12" ht="15" customHeight="1" x14ac:dyDescent="0.1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1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1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15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2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15">
      <c r="A38" s="8"/>
      <c r="B38" s="258" t="s">
        <v>182</v>
      </c>
      <c r="C38" s="259"/>
      <c r="D38" s="259"/>
      <c r="E38" s="259"/>
      <c r="F38" s="259"/>
      <c r="G38" s="259"/>
      <c r="H38" s="259"/>
      <c r="I38" s="259"/>
      <c r="J38" s="259"/>
      <c r="K38" s="260"/>
      <c r="L38" s="10"/>
    </row>
    <row r="39" spans="1:12" ht="15" customHeight="1" x14ac:dyDescent="0.15">
      <c r="A39" s="8"/>
      <c r="B39" s="264"/>
      <c r="C39" s="265"/>
      <c r="D39" s="265"/>
      <c r="E39" s="265"/>
      <c r="F39" s="265"/>
      <c r="G39" s="265"/>
      <c r="H39" s="265"/>
      <c r="I39" s="265"/>
      <c r="J39" s="265"/>
      <c r="K39" s="266"/>
      <c r="L39" s="10"/>
    </row>
    <row r="40" spans="1:12" ht="15" customHeight="1" x14ac:dyDescent="0.15">
      <c r="A40" s="8"/>
      <c r="B40" s="264"/>
      <c r="C40" s="265"/>
      <c r="D40" s="265"/>
      <c r="E40" s="265"/>
      <c r="F40" s="265"/>
      <c r="G40" s="265"/>
      <c r="H40" s="265"/>
      <c r="I40" s="265"/>
      <c r="J40" s="265"/>
      <c r="K40" s="266"/>
      <c r="L40" s="10"/>
    </row>
    <row r="41" spans="1:12" ht="15" customHeight="1" thickBot="1" x14ac:dyDescent="0.2">
      <c r="A41" s="8"/>
      <c r="B41" s="261"/>
      <c r="C41" s="262"/>
      <c r="D41" s="262"/>
      <c r="E41" s="262"/>
      <c r="F41" s="262"/>
      <c r="G41" s="262"/>
      <c r="H41" s="262"/>
      <c r="I41" s="262"/>
      <c r="J41" s="262"/>
      <c r="K41" s="263"/>
      <c r="L41" s="10"/>
    </row>
    <row r="42" spans="1:12" ht="15" customHeight="1" x14ac:dyDescent="0.1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1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1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1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2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15">
      <c r="A47" s="8"/>
      <c r="B47" s="258" t="s">
        <v>183</v>
      </c>
      <c r="C47" s="259"/>
      <c r="D47" s="259"/>
      <c r="E47" s="259"/>
      <c r="F47" s="259"/>
      <c r="G47" s="259"/>
      <c r="H47" s="259"/>
      <c r="I47" s="259"/>
      <c r="J47" s="259"/>
      <c r="K47" s="260"/>
      <c r="L47" s="10"/>
    </row>
    <row r="48" spans="1:12" ht="15" customHeight="1" x14ac:dyDescent="0.15">
      <c r="A48" s="8"/>
      <c r="B48" s="264"/>
      <c r="C48" s="265"/>
      <c r="D48" s="265"/>
      <c r="E48" s="265"/>
      <c r="F48" s="265"/>
      <c r="G48" s="265"/>
      <c r="H48" s="265"/>
      <c r="I48" s="265"/>
      <c r="J48" s="265"/>
      <c r="K48" s="266"/>
      <c r="L48" s="10"/>
    </row>
    <row r="49" spans="1:12" ht="15" customHeight="1" x14ac:dyDescent="0.15">
      <c r="A49" s="8"/>
      <c r="B49" s="264"/>
      <c r="C49" s="265"/>
      <c r="D49" s="265"/>
      <c r="E49" s="265"/>
      <c r="F49" s="265"/>
      <c r="G49" s="265"/>
      <c r="H49" s="265"/>
      <c r="I49" s="265"/>
      <c r="J49" s="265"/>
      <c r="K49" s="266"/>
      <c r="L49" s="10"/>
    </row>
    <row r="50" spans="1:12" ht="15" customHeight="1" thickBot="1" x14ac:dyDescent="0.2">
      <c r="A50" s="8"/>
      <c r="B50" s="261"/>
      <c r="C50" s="262"/>
      <c r="D50" s="262"/>
      <c r="E50" s="262"/>
      <c r="F50" s="262"/>
      <c r="G50" s="262"/>
      <c r="H50" s="262"/>
      <c r="I50" s="262"/>
      <c r="J50" s="262"/>
      <c r="K50" s="263"/>
      <c r="L50" s="10"/>
    </row>
    <row r="51" spans="1:12" ht="15" customHeight="1" x14ac:dyDescent="0.1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1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1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1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15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2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15">
      <c r="A57" s="8"/>
      <c r="B57" s="267" t="s">
        <v>184</v>
      </c>
      <c r="C57" s="259"/>
      <c r="D57" s="259"/>
      <c r="E57" s="259"/>
      <c r="F57" s="259"/>
      <c r="G57" s="259"/>
      <c r="H57" s="259"/>
      <c r="I57" s="259"/>
      <c r="J57" s="259"/>
      <c r="K57" s="260"/>
      <c r="L57" s="10"/>
    </row>
    <row r="58" spans="1:12" ht="15" customHeight="1" thickBot="1" x14ac:dyDescent="0.2">
      <c r="A58" s="8"/>
      <c r="B58" s="261"/>
      <c r="C58" s="262"/>
      <c r="D58" s="262"/>
      <c r="E58" s="262"/>
      <c r="F58" s="262"/>
      <c r="G58" s="262"/>
      <c r="H58" s="262"/>
      <c r="I58" s="262"/>
      <c r="J58" s="262"/>
      <c r="K58" s="263"/>
      <c r="L58" s="10"/>
    </row>
    <row r="59" spans="1:12" ht="15" customHeight="1" x14ac:dyDescent="0.15">
      <c r="A59" s="8"/>
      <c r="L59" s="10"/>
    </row>
    <row r="60" spans="1:12" ht="15" customHeight="1" x14ac:dyDescent="0.15">
      <c r="A60" s="8"/>
      <c r="L60" s="10"/>
    </row>
    <row r="61" spans="1:12" ht="15" customHeight="1" x14ac:dyDescent="0.15">
      <c r="A61" s="8"/>
      <c r="L61" s="10"/>
    </row>
    <row r="62" spans="1:12" ht="15" customHeight="1" x14ac:dyDescent="0.1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1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1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2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1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15">
      <c r="B76" s="57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70" zoomScaleNormal="70" workbookViewId="0">
      <selection activeCell="B16" sqref="B16"/>
    </sheetView>
  </sheetViews>
  <sheetFormatPr baseColWidth="10" defaultColWidth="9.1640625" defaultRowHeight="16" x14ac:dyDescent="0.2"/>
  <cols>
    <col min="1" max="1" width="9.1640625" style="83" customWidth="1"/>
    <col min="2" max="2" width="126.5" style="41" customWidth="1"/>
    <col min="3" max="16384" width="9.1640625" style="1"/>
  </cols>
  <sheetData>
    <row r="1" spans="1:2" ht="15" customHeight="1" x14ac:dyDescent="0.2"/>
    <row r="2" spans="1:2" ht="15" customHeight="1" x14ac:dyDescent="0.2">
      <c r="B2" s="3" t="str">
        <f>Cover!B47</f>
        <v xml:space="preserve">PROJECT: Rothiemurchus </v>
      </c>
    </row>
    <row r="3" spans="1:2" ht="15" customHeight="1" x14ac:dyDescent="0.2">
      <c r="B3" s="53" t="str">
        <f>Cover!B57</f>
        <v>DATE: 28 SEPTEMBER 2025</v>
      </c>
    </row>
    <row r="4" spans="1:2" ht="15" customHeight="1" x14ac:dyDescent="0.2">
      <c r="B4" s="3"/>
    </row>
    <row r="5" spans="1:2" ht="15" customHeight="1" thickBot="1" x14ac:dyDescent="0.25">
      <c r="B5" s="188"/>
    </row>
    <row r="6" spans="1:2" ht="21.25" customHeight="1" thickBot="1" x14ac:dyDescent="0.2">
      <c r="A6" s="93"/>
      <c r="B6" s="94" t="s">
        <v>5</v>
      </c>
    </row>
    <row r="7" spans="1:2" ht="15" customHeight="1" x14ac:dyDescent="0.2">
      <c r="A7" s="95"/>
      <c r="B7" s="40"/>
    </row>
    <row r="8" spans="1:2" s="42" customFormat="1" ht="15" customHeight="1" x14ac:dyDescent="0.2">
      <c r="A8" s="95">
        <v>1</v>
      </c>
      <c r="B8" s="41" t="s">
        <v>6</v>
      </c>
    </row>
    <row r="9" spans="1:2" s="42" customFormat="1" ht="15" customHeight="1" x14ac:dyDescent="0.2">
      <c r="A9" s="95"/>
      <c r="B9" s="41"/>
    </row>
    <row r="10" spans="1:2" s="42" customFormat="1" ht="15" customHeight="1" x14ac:dyDescent="0.2">
      <c r="A10" s="81">
        <v>1.1000000000000001</v>
      </c>
      <c r="B10" s="21" t="s">
        <v>34</v>
      </c>
    </row>
    <row r="11" spans="1:2" s="42" customFormat="1" ht="15" customHeight="1" x14ac:dyDescent="0.2">
      <c r="A11" s="81">
        <f>+A10+0.1</f>
        <v>1.2000000000000002</v>
      </c>
      <c r="B11" s="21" t="s">
        <v>15</v>
      </c>
    </row>
    <row r="12" spans="1:2" s="42" customFormat="1" ht="15" customHeight="1" x14ac:dyDescent="0.2">
      <c r="A12" s="81">
        <f t="shared" ref="A12:A18" si="0">+A11+0.1</f>
        <v>1.3000000000000003</v>
      </c>
      <c r="B12" s="82" t="s">
        <v>59</v>
      </c>
    </row>
    <row r="13" spans="1:2" s="42" customFormat="1" ht="15" customHeight="1" x14ac:dyDescent="0.2">
      <c r="A13" s="83">
        <f t="shared" si="0"/>
        <v>1.4000000000000004</v>
      </c>
      <c r="B13" s="58" t="s">
        <v>106</v>
      </c>
    </row>
    <row r="14" spans="1:2" s="42" customFormat="1" ht="15" customHeight="1" x14ac:dyDescent="0.2">
      <c r="A14" s="81">
        <f t="shared" si="0"/>
        <v>1.5000000000000004</v>
      </c>
      <c r="B14" s="21" t="s">
        <v>16</v>
      </c>
    </row>
    <row r="15" spans="1:2" s="42" customFormat="1" ht="15" customHeight="1" x14ac:dyDescent="0.2">
      <c r="A15" s="83">
        <f t="shared" si="0"/>
        <v>1.6000000000000005</v>
      </c>
      <c r="B15" s="58" t="s">
        <v>60</v>
      </c>
    </row>
    <row r="16" spans="1:2" s="42" customFormat="1" ht="15" customHeight="1" x14ac:dyDescent="0.2">
      <c r="A16" s="81">
        <f t="shared" si="0"/>
        <v>1.7000000000000006</v>
      </c>
      <c r="B16" s="41" t="s">
        <v>97</v>
      </c>
    </row>
    <row r="17" spans="1:2" s="42" customFormat="1" ht="15" customHeight="1" x14ac:dyDescent="0.2">
      <c r="A17" s="81">
        <f t="shared" si="0"/>
        <v>1.8000000000000007</v>
      </c>
      <c r="B17" s="44" t="s">
        <v>61</v>
      </c>
    </row>
    <row r="18" spans="1:2" s="42" customFormat="1" ht="15" customHeight="1" x14ac:dyDescent="0.2">
      <c r="A18" s="81">
        <f t="shared" si="0"/>
        <v>1.9000000000000008</v>
      </c>
      <c r="B18" s="40" t="s">
        <v>98</v>
      </c>
    </row>
    <row r="19" spans="1:2" s="42" customFormat="1" ht="15" customHeight="1" x14ac:dyDescent="0.2">
      <c r="A19" s="84">
        <v>1.1000000000000001</v>
      </c>
      <c r="B19" s="46" t="s">
        <v>33</v>
      </c>
    </row>
    <row r="20" spans="1:2" s="42" customFormat="1" ht="15" customHeight="1" x14ac:dyDescent="0.2">
      <c r="A20" s="84">
        <v>1.1100000000000001</v>
      </c>
      <c r="B20" s="41" t="s">
        <v>62</v>
      </c>
    </row>
    <row r="21" spans="1:2" s="42" customFormat="1" ht="15" customHeight="1" x14ac:dyDescent="0.2">
      <c r="A21" s="84">
        <v>1.1200000000000001</v>
      </c>
      <c r="B21" s="40" t="s">
        <v>35</v>
      </c>
    </row>
    <row r="22" spans="1:2" s="42" customFormat="1" ht="15" customHeight="1" x14ac:dyDescent="0.2">
      <c r="A22" s="96"/>
      <c r="B22" s="40"/>
    </row>
    <row r="23" spans="1:2" s="42" customFormat="1" ht="15" customHeight="1" x14ac:dyDescent="0.2">
      <c r="A23" s="95">
        <v>2</v>
      </c>
      <c r="B23" s="40" t="s">
        <v>96</v>
      </c>
    </row>
    <row r="24" spans="1:2" s="42" customFormat="1" ht="15" customHeight="1" x14ac:dyDescent="0.2">
      <c r="A24" s="95"/>
      <c r="B24" s="40"/>
    </row>
    <row r="25" spans="1:2" s="42" customFormat="1" ht="15" customHeight="1" x14ac:dyDescent="0.2">
      <c r="A25" s="81">
        <v>2.1</v>
      </c>
      <c r="B25" s="40" t="s">
        <v>65</v>
      </c>
    </row>
    <row r="26" spans="1:2" s="42" customFormat="1" ht="15" customHeight="1" x14ac:dyDescent="0.2">
      <c r="A26" s="95">
        <v>2.2000000000000002</v>
      </c>
      <c r="B26" s="40" t="s">
        <v>66</v>
      </c>
    </row>
    <row r="27" spans="1:2" s="42" customFormat="1" ht="15" customHeight="1" x14ac:dyDescent="0.2">
      <c r="A27" s="95">
        <v>2.2999999999999998</v>
      </c>
      <c r="B27" s="44" t="s">
        <v>67</v>
      </c>
    </row>
    <row r="28" spans="1:2" s="42" customFormat="1" ht="15" customHeight="1" x14ac:dyDescent="0.2">
      <c r="A28" s="95">
        <v>2.4</v>
      </c>
      <c r="B28" s="97" t="s">
        <v>68</v>
      </c>
    </row>
    <row r="29" spans="1:2" s="42" customFormat="1" ht="15" customHeight="1" x14ac:dyDescent="0.2">
      <c r="A29" s="95">
        <v>2.5</v>
      </c>
      <c r="B29" s="45" t="s">
        <v>69</v>
      </c>
    </row>
    <row r="30" spans="1:2" s="42" customFormat="1" ht="15" customHeight="1" x14ac:dyDescent="0.2">
      <c r="A30" s="95">
        <v>2.6</v>
      </c>
      <c r="B30" s="45" t="s">
        <v>102</v>
      </c>
    </row>
    <row r="31" spans="1:2" s="42" customFormat="1" ht="15" customHeight="1" x14ac:dyDescent="0.2">
      <c r="A31" s="95">
        <v>2.7</v>
      </c>
      <c r="B31" s="45" t="s">
        <v>99</v>
      </c>
    </row>
    <row r="32" spans="1:2" s="42" customFormat="1" ht="15" customHeight="1" x14ac:dyDescent="0.2">
      <c r="A32" s="95">
        <v>2.8</v>
      </c>
      <c r="B32" s="45" t="s">
        <v>100</v>
      </c>
    </row>
    <row r="33" spans="1:2" s="42" customFormat="1" ht="15" customHeight="1" x14ac:dyDescent="0.2">
      <c r="A33" s="95">
        <v>2.9</v>
      </c>
      <c r="B33" s="45" t="s">
        <v>101</v>
      </c>
    </row>
    <row r="34" spans="1:2" s="42" customFormat="1" ht="15" customHeight="1" x14ac:dyDescent="0.2">
      <c r="A34" s="96"/>
      <c r="B34" s="41"/>
    </row>
    <row r="35" spans="1:2" s="42" customFormat="1" ht="15" customHeight="1" x14ac:dyDescent="0.2">
      <c r="A35" s="95">
        <v>3</v>
      </c>
      <c r="B35" s="44" t="s">
        <v>7</v>
      </c>
    </row>
    <row r="36" spans="1:2" s="42" customFormat="1" ht="15" customHeight="1" x14ac:dyDescent="0.2">
      <c r="A36" s="95"/>
      <c r="B36" s="41"/>
    </row>
    <row r="37" spans="1:2" s="42" customFormat="1" ht="15" customHeight="1" x14ac:dyDescent="0.2">
      <c r="A37" s="95">
        <v>3.1</v>
      </c>
      <c r="B37" s="41" t="s">
        <v>70</v>
      </c>
    </row>
    <row r="38" spans="1:2" s="42" customFormat="1" ht="15" customHeight="1" x14ac:dyDescent="0.2">
      <c r="A38" s="95">
        <v>3.2</v>
      </c>
      <c r="B38" s="41" t="s">
        <v>71</v>
      </c>
    </row>
    <row r="39" spans="1:2" s="42" customFormat="1" ht="15" customHeight="1" x14ac:dyDescent="0.2">
      <c r="A39" s="95">
        <v>3.3</v>
      </c>
      <c r="B39" s="41" t="s">
        <v>41</v>
      </c>
    </row>
    <row r="40" spans="1:2" s="42" customFormat="1" ht="15" customHeight="1" x14ac:dyDescent="0.2">
      <c r="A40" s="95">
        <v>3.4</v>
      </c>
      <c r="B40" s="41" t="s">
        <v>36</v>
      </c>
    </row>
    <row r="41" spans="1:2" s="42" customFormat="1" ht="15" customHeight="1" x14ac:dyDescent="0.2">
      <c r="A41" s="95">
        <v>3.5</v>
      </c>
      <c r="B41" s="41" t="s">
        <v>37</v>
      </c>
    </row>
    <row r="42" spans="1:2" s="42" customFormat="1" ht="15" customHeight="1" x14ac:dyDescent="0.2">
      <c r="A42" s="95">
        <v>3.6</v>
      </c>
      <c r="B42" s="41" t="s">
        <v>38</v>
      </c>
    </row>
    <row r="43" spans="1:2" s="42" customFormat="1" ht="15" customHeight="1" x14ac:dyDescent="0.2">
      <c r="A43" s="95">
        <v>3.7</v>
      </c>
      <c r="B43" s="41" t="s">
        <v>39</v>
      </c>
    </row>
    <row r="44" spans="1:2" s="42" customFormat="1" ht="15" customHeight="1" x14ac:dyDescent="0.2">
      <c r="A44" s="95">
        <v>3.8</v>
      </c>
      <c r="B44" s="46" t="s">
        <v>40</v>
      </c>
    </row>
    <row r="45" spans="1:2" s="42" customFormat="1" ht="15" customHeight="1" x14ac:dyDescent="0.2">
      <c r="A45" s="95">
        <v>3.9</v>
      </c>
      <c r="B45" s="46" t="s">
        <v>103</v>
      </c>
    </row>
    <row r="46" spans="1:2" s="42" customFormat="1" ht="15" customHeight="1" x14ac:dyDescent="0.2">
      <c r="A46" s="96">
        <v>3.1</v>
      </c>
      <c r="B46" s="46" t="s">
        <v>43</v>
      </c>
    </row>
    <row r="47" spans="1:2" s="42" customFormat="1" ht="15" customHeight="1" x14ac:dyDescent="0.2">
      <c r="A47" s="95">
        <v>3.11</v>
      </c>
      <c r="B47" s="46" t="s">
        <v>44</v>
      </c>
    </row>
    <row r="48" spans="1:2" s="42" customFormat="1" ht="15" customHeight="1" x14ac:dyDescent="0.2">
      <c r="A48" s="95">
        <v>3.12</v>
      </c>
      <c r="B48" s="46" t="s">
        <v>72</v>
      </c>
    </row>
    <row r="49" spans="1:2" s="42" customFormat="1" ht="15" customHeight="1" x14ac:dyDescent="0.2">
      <c r="A49" s="95">
        <v>3.13</v>
      </c>
      <c r="B49" s="46" t="s">
        <v>143</v>
      </c>
    </row>
    <row r="50" spans="1:2" s="42" customFormat="1" ht="15" customHeight="1" x14ac:dyDescent="0.2">
      <c r="A50" s="95">
        <v>3.14</v>
      </c>
      <c r="B50" s="46" t="s">
        <v>147</v>
      </c>
    </row>
    <row r="51" spans="1:2" s="42" customFormat="1" ht="15" customHeight="1" x14ac:dyDescent="0.2">
      <c r="A51" s="95">
        <v>3.15</v>
      </c>
      <c r="B51" s="46" t="s">
        <v>148</v>
      </c>
    </row>
    <row r="52" spans="1:2" s="42" customFormat="1" ht="15" customHeight="1" x14ac:dyDescent="0.2">
      <c r="A52" s="95"/>
      <c r="B52" s="46"/>
    </row>
    <row r="53" spans="1:2" s="42" customFormat="1" ht="15" customHeight="1" x14ac:dyDescent="0.2">
      <c r="A53" s="95">
        <v>4</v>
      </c>
      <c r="B53" s="44" t="s">
        <v>73</v>
      </c>
    </row>
    <row r="54" spans="1:2" s="42" customFormat="1" ht="15" customHeight="1" x14ac:dyDescent="0.2">
      <c r="A54" s="95"/>
      <c r="B54" s="46"/>
    </row>
    <row r="55" spans="1:2" s="42" customFormat="1" ht="15" customHeight="1" x14ac:dyDescent="0.2">
      <c r="A55" s="95">
        <v>4.0999999999999996</v>
      </c>
      <c r="B55" s="40" t="s">
        <v>74</v>
      </c>
    </row>
    <row r="56" spans="1:2" s="42" customFormat="1" ht="15" customHeight="1" x14ac:dyDescent="0.2">
      <c r="A56" s="95">
        <v>4.2</v>
      </c>
      <c r="B56" s="44" t="s">
        <v>75</v>
      </c>
    </row>
    <row r="57" spans="1:2" s="42" customFormat="1" ht="15" customHeight="1" x14ac:dyDescent="0.2">
      <c r="A57" s="95">
        <v>4.3</v>
      </c>
      <c r="B57" s="44" t="s">
        <v>76</v>
      </c>
    </row>
    <row r="58" spans="1:2" s="42" customFormat="1" ht="15" customHeight="1" x14ac:dyDescent="0.2">
      <c r="A58" s="95">
        <v>4.4000000000000004</v>
      </c>
      <c r="B58" s="44" t="s">
        <v>77</v>
      </c>
    </row>
    <row r="59" spans="1:2" s="42" customFormat="1" ht="15" customHeight="1" x14ac:dyDescent="0.2">
      <c r="A59" s="95">
        <v>4.5</v>
      </c>
      <c r="B59" s="44" t="s">
        <v>105</v>
      </c>
    </row>
    <row r="60" spans="1:2" s="42" customFormat="1" ht="15" customHeight="1" x14ac:dyDescent="0.2">
      <c r="A60" s="95">
        <v>4.5999999999999996</v>
      </c>
      <c r="B60" s="41" t="s">
        <v>78</v>
      </c>
    </row>
    <row r="61" spans="1:2" s="42" customFormat="1" ht="15" customHeight="1" x14ac:dyDescent="0.2">
      <c r="A61" s="95">
        <v>4.7</v>
      </c>
      <c r="B61" s="46" t="s">
        <v>104</v>
      </c>
    </row>
    <row r="62" spans="1:2" s="42" customFormat="1" ht="15" customHeight="1" x14ac:dyDescent="0.2">
      <c r="A62" s="95">
        <v>4.8</v>
      </c>
      <c r="B62" s="46" t="s">
        <v>79</v>
      </c>
    </row>
    <row r="63" spans="1:2" s="42" customFormat="1" ht="15" customHeight="1" x14ac:dyDescent="0.2">
      <c r="A63" s="83">
        <v>4.9000000000000004</v>
      </c>
      <c r="B63" s="46" t="s">
        <v>80</v>
      </c>
    </row>
    <row r="64" spans="1:2" s="42" customFormat="1" ht="15" customHeight="1" x14ac:dyDescent="0.2">
      <c r="A64" s="86">
        <v>4.0999999999999996</v>
      </c>
      <c r="B64" s="46" t="s">
        <v>93</v>
      </c>
    </row>
    <row r="65" spans="1:2" s="42" customFormat="1" ht="15" customHeight="1" x14ac:dyDescent="0.2">
      <c r="A65" s="86">
        <v>4.1100000000000003</v>
      </c>
      <c r="B65" s="41" t="s">
        <v>94</v>
      </c>
    </row>
    <row r="66" spans="1:2" ht="17" x14ac:dyDescent="0.2">
      <c r="A66" s="83">
        <v>4.12</v>
      </c>
      <c r="B66" s="41" t="s">
        <v>142</v>
      </c>
    </row>
    <row r="67" spans="1:2" ht="17" x14ac:dyDescent="0.2">
      <c r="A67" s="83">
        <v>4.13</v>
      </c>
      <c r="B67" s="41" t="s">
        <v>144</v>
      </c>
    </row>
    <row r="68" spans="1:2" ht="17" x14ac:dyDescent="0.2">
      <c r="A68" s="83">
        <v>4.1399999999999997</v>
      </c>
      <c r="B68" s="41" t="s">
        <v>145</v>
      </c>
    </row>
    <row r="69" spans="1:2" ht="17" x14ac:dyDescent="0.2">
      <c r="A69" s="83">
        <v>4.1500000000000004</v>
      </c>
      <c r="B69" s="41" t="s">
        <v>146</v>
      </c>
    </row>
    <row r="70" spans="1:2" ht="17" x14ac:dyDescent="0.2">
      <c r="A70" s="83">
        <v>4.16</v>
      </c>
      <c r="B70" s="41" t="s">
        <v>149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70" zoomScaleNormal="70" workbookViewId="0">
      <selection activeCell="A26" sqref="A26"/>
    </sheetView>
  </sheetViews>
  <sheetFormatPr baseColWidth="10" defaultColWidth="9.1640625" defaultRowHeight="13" x14ac:dyDescent="0.15"/>
  <cols>
    <col min="1" max="1" width="9.1640625" style="1"/>
    <col min="2" max="2" width="126.5" style="2" customWidth="1"/>
    <col min="3" max="16384" width="9.1640625" style="1"/>
  </cols>
  <sheetData>
    <row r="1" spans="1:2" ht="16" x14ac:dyDescent="0.2">
      <c r="A1" s="40"/>
      <c r="B1" s="41"/>
    </row>
    <row r="2" spans="1:2" ht="19" x14ac:dyDescent="0.25">
      <c r="A2" s="87"/>
      <c r="B2" s="39" t="str">
        <f>+Cover!B47</f>
        <v xml:space="preserve">PROJECT: Rothiemurchus </v>
      </c>
    </row>
    <row r="3" spans="1:2" ht="19" x14ac:dyDescent="0.25">
      <c r="A3" s="87"/>
      <c r="B3" s="92" t="str">
        <f>+Cover!B57</f>
        <v>DATE: 28 SEPTEMBER 2025</v>
      </c>
    </row>
    <row r="4" spans="1:2" ht="20" thickBot="1" x14ac:dyDescent="0.3">
      <c r="A4" s="87"/>
      <c r="B4" s="88"/>
    </row>
    <row r="5" spans="1:2" s="85" customFormat="1" ht="20.25" customHeight="1" thickBot="1" x14ac:dyDescent="0.25">
      <c r="A5" s="89"/>
      <c r="B5" s="90" t="s">
        <v>64</v>
      </c>
    </row>
    <row r="6" spans="1:2" ht="16" x14ac:dyDescent="0.2">
      <c r="A6" s="40"/>
      <c r="B6" s="40"/>
    </row>
    <row r="7" spans="1:2" ht="17" x14ac:dyDescent="0.2">
      <c r="A7" s="43"/>
      <c r="B7" s="47" t="s">
        <v>95</v>
      </c>
    </row>
    <row r="8" spans="1:2" ht="16" x14ac:dyDescent="0.2">
      <c r="A8" s="43"/>
      <c r="B8" s="47"/>
    </row>
    <row r="9" spans="1:2" ht="17" x14ac:dyDescent="0.2">
      <c r="A9" s="43"/>
      <c r="B9" s="41" t="s">
        <v>128</v>
      </c>
    </row>
    <row r="10" spans="1:2" ht="16" x14ac:dyDescent="0.2">
      <c r="A10" s="43"/>
      <c r="B10" s="41"/>
    </row>
    <row r="11" spans="1:2" ht="17" x14ac:dyDescent="0.2">
      <c r="A11" s="43"/>
      <c r="B11" s="41" t="s">
        <v>131</v>
      </c>
    </row>
    <row r="12" spans="1:2" ht="17" x14ac:dyDescent="0.2">
      <c r="A12" s="43"/>
      <c r="B12" s="91" t="s">
        <v>132</v>
      </c>
    </row>
    <row r="13" spans="1:2" ht="17" x14ac:dyDescent="0.2">
      <c r="A13" s="43"/>
      <c r="B13" s="91" t="s">
        <v>133</v>
      </c>
    </row>
    <row r="14" spans="1:2" ht="17" x14ac:dyDescent="0.2">
      <c r="A14" s="43"/>
      <c r="B14" s="91" t="s">
        <v>134</v>
      </c>
    </row>
    <row r="15" spans="1:2" ht="17" x14ac:dyDescent="0.2">
      <c r="A15" s="43"/>
      <c r="B15" s="91" t="s">
        <v>135</v>
      </c>
    </row>
    <row r="16" spans="1:2" ht="17" x14ac:dyDescent="0.2">
      <c r="A16" s="43"/>
      <c r="B16" s="91" t="s">
        <v>136</v>
      </c>
    </row>
    <row r="17" spans="1:2" ht="16" x14ac:dyDescent="0.2">
      <c r="A17" s="43"/>
      <c r="B17" s="91"/>
    </row>
    <row r="18" spans="1:2" ht="16" x14ac:dyDescent="0.2">
      <c r="A18" s="43"/>
      <c r="B18" s="91"/>
    </row>
    <row r="19" spans="1:2" ht="16" x14ac:dyDescent="0.2">
      <c r="A19" s="43"/>
      <c r="B19" s="91"/>
    </row>
    <row r="20" spans="1:2" ht="16" x14ac:dyDescent="0.2">
      <c r="A20" s="43"/>
      <c r="B20" s="91"/>
    </row>
    <row r="21" spans="1:2" ht="16" x14ac:dyDescent="0.2">
      <c r="A21" s="43"/>
      <c r="B21" s="91"/>
    </row>
    <row r="22" spans="1:2" ht="16" x14ac:dyDescent="0.2">
      <c r="A22" s="43"/>
      <c r="B22" s="91"/>
    </row>
    <row r="23" spans="1:2" ht="16" x14ac:dyDescent="0.2">
      <c r="A23" s="43"/>
      <c r="B23" s="91"/>
    </row>
    <row r="24" spans="1:2" ht="16" x14ac:dyDescent="0.2">
      <c r="A24" s="43"/>
      <c r="B24" s="91"/>
    </row>
    <row r="25" spans="1:2" ht="16" x14ac:dyDescent="0.2">
      <c r="A25" s="43"/>
      <c r="B25" s="91"/>
    </row>
    <row r="26" spans="1:2" ht="16" x14ac:dyDescent="0.2">
      <c r="A26" s="43"/>
      <c r="B26" s="91"/>
    </row>
    <row r="27" spans="1:2" ht="16" x14ac:dyDescent="0.2">
      <c r="A27" s="43"/>
      <c r="B27" s="91"/>
    </row>
    <row r="28" spans="1:2" ht="16" x14ac:dyDescent="0.2">
      <c r="A28" s="43"/>
      <c r="B28" s="91"/>
    </row>
    <row r="29" spans="1:2" ht="16" x14ac:dyDescent="0.2">
      <c r="A29" s="43"/>
      <c r="B29" s="91"/>
    </row>
    <row r="30" spans="1:2" ht="16" x14ac:dyDescent="0.2">
      <c r="A30" s="43"/>
      <c r="B30" s="91"/>
    </row>
    <row r="31" spans="1:2" ht="16" x14ac:dyDescent="0.2">
      <c r="A31" s="43"/>
      <c r="B31" s="91"/>
    </row>
    <row r="32" spans="1:2" ht="16" x14ac:dyDescent="0.2">
      <c r="A32" s="43"/>
      <c r="B32" s="91"/>
    </row>
    <row r="33" spans="1:2" ht="16" x14ac:dyDescent="0.2">
      <c r="A33" s="43"/>
      <c r="B33" s="91"/>
    </row>
    <row r="34" spans="1:2" ht="16" x14ac:dyDescent="0.2">
      <c r="A34" s="43"/>
      <c r="B34" s="91"/>
    </row>
    <row r="35" spans="1:2" ht="16" x14ac:dyDescent="0.2">
      <c r="A35" s="43"/>
      <c r="B35" s="91"/>
    </row>
    <row r="36" spans="1:2" ht="16" x14ac:dyDescent="0.2">
      <c r="A36" s="43"/>
      <c r="B36" s="91"/>
    </row>
    <row r="37" spans="1:2" ht="16" x14ac:dyDescent="0.2">
      <c r="A37" s="43"/>
      <c r="B37" s="91"/>
    </row>
    <row r="38" spans="1:2" ht="16" x14ac:dyDescent="0.2">
      <c r="A38" s="43"/>
      <c r="B38" s="91"/>
    </row>
    <row r="39" spans="1:2" ht="16" x14ac:dyDescent="0.2">
      <c r="A39" s="43"/>
      <c r="B39" s="91"/>
    </row>
    <row r="40" spans="1:2" ht="16" x14ac:dyDescent="0.2">
      <c r="A40" s="43"/>
      <c r="B40" s="91"/>
    </row>
    <row r="41" spans="1:2" ht="16" x14ac:dyDescent="0.2">
      <c r="A41" s="43"/>
      <c r="B41" s="91"/>
    </row>
    <row r="42" spans="1:2" ht="16" x14ac:dyDescent="0.2">
      <c r="A42" s="43"/>
      <c r="B42" s="91"/>
    </row>
    <row r="43" spans="1:2" ht="16" x14ac:dyDescent="0.2">
      <c r="A43" s="43"/>
      <c r="B43" s="91"/>
    </row>
    <row r="44" spans="1:2" ht="16" x14ac:dyDescent="0.2">
      <c r="A44" s="43"/>
      <c r="B44" s="91"/>
    </row>
    <row r="45" spans="1:2" ht="16" x14ac:dyDescent="0.2">
      <c r="A45" s="43"/>
      <c r="B45" s="91"/>
    </row>
    <row r="46" spans="1:2" ht="16" x14ac:dyDescent="0.2">
      <c r="A46" s="43"/>
      <c r="B46" s="91"/>
    </row>
    <row r="47" spans="1:2" ht="16" x14ac:dyDescent="0.2">
      <c r="A47" s="43"/>
      <c r="B47" s="91"/>
    </row>
    <row r="48" spans="1:2" ht="16" x14ac:dyDescent="0.2">
      <c r="A48" s="43"/>
      <c r="B48" s="91"/>
    </row>
    <row r="49" spans="1:2" ht="16" x14ac:dyDescent="0.2">
      <c r="A49" s="43"/>
      <c r="B49" s="91"/>
    </row>
    <row r="50" spans="1:2" ht="16" x14ac:dyDescent="0.2">
      <c r="A50" s="43"/>
      <c r="B50" s="91"/>
    </row>
    <row r="51" spans="1:2" ht="16" x14ac:dyDescent="0.2">
      <c r="A51" s="43"/>
      <c r="B51" s="91"/>
    </row>
    <row r="52" spans="1:2" ht="16" x14ac:dyDescent="0.2">
      <c r="A52" s="43"/>
      <c r="B52" s="91"/>
    </row>
    <row r="53" spans="1:2" ht="16" x14ac:dyDescent="0.2">
      <c r="A53" s="43"/>
      <c r="B53" s="91"/>
    </row>
    <row r="54" spans="1:2" ht="16" x14ac:dyDescent="0.2">
      <c r="A54" s="43"/>
      <c r="B54" s="91"/>
    </row>
    <row r="55" spans="1:2" ht="16" x14ac:dyDescent="0.2">
      <c r="A55" s="43"/>
      <c r="B55" s="91"/>
    </row>
    <row r="56" spans="1:2" ht="16" x14ac:dyDescent="0.2">
      <c r="A56" s="43"/>
      <c r="B56" s="91"/>
    </row>
    <row r="57" spans="1:2" ht="16" x14ac:dyDescent="0.2">
      <c r="A57" s="43"/>
      <c r="B57" s="91"/>
    </row>
    <row r="58" spans="1:2" ht="16" x14ac:dyDescent="0.2">
      <c r="A58" s="43"/>
      <c r="B58" s="91"/>
    </row>
    <row r="59" spans="1:2" ht="16" x14ac:dyDescent="0.2">
      <c r="A59" s="43"/>
      <c r="B59" s="91"/>
    </row>
    <row r="60" spans="1:2" ht="16" x14ac:dyDescent="0.2">
      <c r="A60" s="43"/>
      <c r="B60" s="91"/>
    </row>
    <row r="61" spans="1:2" ht="16" x14ac:dyDescent="0.2">
      <c r="A61" s="43"/>
      <c r="B61" s="91"/>
    </row>
    <row r="62" spans="1:2" ht="16" x14ac:dyDescent="0.2">
      <c r="A62" s="43"/>
      <c r="B62" s="91"/>
    </row>
    <row r="63" spans="1:2" ht="16" x14ac:dyDescent="0.2">
      <c r="A63" s="43"/>
      <c r="B63" s="91"/>
    </row>
    <row r="64" spans="1:2" ht="16" x14ac:dyDescent="0.2">
      <c r="A64" s="43"/>
      <c r="B64" s="91"/>
    </row>
    <row r="65" spans="1:2" ht="16" x14ac:dyDescent="0.2">
      <c r="A65" s="43"/>
      <c r="B65" s="91"/>
    </row>
    <row r="66" spans="1:2" ht="16" x14ac:dyDescent="0.2">
      <c r="A66" s="43"/>
      <c r="B66" s="91"/>
    </row>
    <row r="67" spans="1:2" ht="16" x14ac:dyDescent="0.2">
      <c r="A67" s="43"/>
      <c r="B67" s="91"/>
    </row>
    <row r="68" spans="1:2" ht="16" x14ac:dyDescent="0.2">
      <c r="A68" s="43"/>
      <c r="B68" s="91"/>
    </row>
    <row r="69" spans="1:2" ht="16" x14ac:dyDescent="0.2">
      <c r="A69" s="43"/>
      <c r="B69" s="91"/>
    </row>
    <row r="70" spans="1:2" ht="16" x14ac:dyDescent="0.2">
      <c r="A70" s="43"/>
      <c r="B70" s="91"/>
    </row>
    <row r="71" spans="1:2" ht="16" x14ac:dyDescent="0.2">
      <c r="A71" s="43"/>
      <c r="B71" s="91"/>
    </row>
    <row r="72" spans="1:2" ht="16" x14ac:dyDescent="0.2">
      <c r="A72" s="43"/>
      <c r="B72" s="91"/>
    </row>
    <row r="73" spans="1:2" ht="16" x14ac:dyDescent="0.2">
      <c r="A73" s="43"/>
      <c r="B73" s="91"/>
    </row>
    <row r="74" spans="1:2" ht="16" x14ac:dyDescent="0.2">
      <c r="A74" s="43"/>
      <c r="B74" s="41"/>
    </row>
    <row r="75" spans="1:2" ht="16" x14ac:dyDescent="0.2">
      <c r="A75" s="40"/>
      <c r="B75" s="41"/>
    </row>
    <row r="76" spans="1:2" ht="16" x14ac:dyDescent="0.2">
      <c r="A76" s="40"/>
      <c r="B76" s="41"/>
    </row>
    <row r="77" spans="1:2" ht="16" x14ac:dyDescent="0.2">
      <c r="A77" s="40"/>
      <c r="B77" s="41"/>
    </row>
    <row r="78" spans="1:2" ht="16" x14ac:dyDescent="0.2">
      <c r="A78" s="40"/>
      <c r="B78" s="41"/>
    </row>
    <row r="79" spans="1:2" ht="16" x14ac:dyDescent="0.2">
      <c r="A79" s="40"/>
      <c r="B79" s="41"/>
    </row>
    <row r="80" spans="1:2" ht="16" x14ac:dyDescent="0.2">
      <c r="A80" s="40"/>
      <c r="B80" s="41"/>
    </row>
    <row r="81" spans="1:2" ht="16" x14ac:dyDescent="0.2">
      <c r="A81" s="40"/>
      <c r="B81" s="41"/>
    </row>
    <row r="82" spans="1:2" ht="16" x14ac:dyDescent="0.2">
      <c r="A82" s="40"/>
      <c r="B82" s="41"/>
    </row>
    <row r="83" spans="1:2" ht="16" x14ac:dyDescent="0.2">
      <c r="A83" s="40"/>
      <c r="B83" s="41"/>
    </row>
    <row r="84" spans="1:2" ht="16" x14ac:dyDescent="0.2">
      <c r="A84" s="40"/>
      <c r="B84" s="41"/>
    </row>
    <row r="85" spans="1:2" ht="16" x14ac:dyDescent="0.2">
      <c r="A85" s="40"/>
      <c r="B85" s="41"/>
    </row>
    <row r="86" spans="1:2" ht="16" x14ac:dyDescent="0.2">
      <c r="A86" s="40"/>
      <c r="B86" s="41"/>
    </row>
    <row r="87" spans="1:2" ht="16" x14ac:dyDescent="0.2">
      <c r="A87" s="40"/>
      <c r="B87" s="41"/>
    </row>
    <row r="88" spans="1:2" ht="16" x14ac:dyDescent="0.2">
      <c r="A88" s="40"/>
      <c r="B88" s="41"/>
    </row>
    <row r="89" spans="1:2" ht="16" x14ac:dyDescent="0.2">
      <c r="A89" s="40"/>
      <c r="B89" s="41"/>
    </row>
    <row r="90" spans="1:2" ht="16" x14ac:dyDescent="0.2">
      <c r="A90" s="40"/>
      <c r="B90" s="41"/>
    </row>
    <row r="91" spans="1:2" ht="16" x14ac:dyDescent="0.2">
      <c r="A91" s="40"/>
      <c r="B91" s="41"/>
    </row>
    <row r="92" spans="1:2" ht="16" x14ac:dyDescent="0.2">
      <c r="A92" s="40"/>
      <c r="B92" s="41"/>
    </row>
    <row r="93" spans="1:2" ht="16" x14ac:dyDescent="0.2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N40"/>
  <sheetViews>
    <sheetView zoomScale="84" zoomScaleNormal="55" workbookViewId="0">
      <selection activeCell="D17" sqref="D17"/>
    </sheetView>
  </sheetViews>
  <sheetFormatPr baseColWidth="10" defaultColWidth="9.1640625" defaultRowHeight="16" x14ac:dyDescent="0.2"/>
  <cols>
    <col min="1" max="1" width="2.33203125" style="79" customWidth="1"/>
    <col min="2" max="2" width="70.5" style="79" customWidth="1"/>
    <col min="3" max="3" width="16.5" style="75" customWidth="1"/>
    <col min="4" max="4" width="20.6640625" style="80" customWidth="1"/>
    <col min="5" max="5" width="12.5" style="78" bestFit="1" customWidth="1"/>
    <col min="6" max="7" width="20.6640625" style="107" customWidth="1"/>
    <col min="8" max="9" width="20.6640625" style="171" customWidth="1"/>
    <col min="10" max="10" width="10.1640625" style="79" bestFit="1" customWidth="1"/>
    <col min="11" max="11" width="13.33203125" style="79" bestFit="1" customWidth="1"/>
    <col min="12" max="16384" width="9.1640625" style="79"/>
  </cols>
  <sheetData>
    <row r="1" spans="2:14" x14ac:dyDescent="0.2">
      <c r="B1" s="98"/>
    </row>
    <row r="2" spans="2:14" s="78" customFormat="1" x14ac:dyDescent="0.2">
      <c r="B2" s="99" t="str">
        <f>+Documents!B2</f>
        <v xml:space="preserve">PROJECT: Rothiemurchus </v>
      </c>
      <c r="C2" s="75"/>
      <c r="D2" s="80"/>
      <c r="F2" s="107"/>
      <c r="G2" s="107"/>
      <c r="H2" s="171"/>
      <c r="I2" s="171"/>
    </row>
    <row r="3" spans="2:14" s="78" customFormat="1" ht="17" thickBot="1" x14ac:dyDescent="0.25">
      <c r="B3" s="131" t="str">
        <f>+Documents!B3</f>
        <v>DATE: 28 SEPTEMBER 2025</v>
      </c>
      <c r="C3" s="75"/>
      <c r="D3" s="80"/>
      <c r="F3" s="107"/>
      <c r="G3" s="107"/>
      <c r="H3" s="171"/>
      <c r="I3" s="171"/>
    </row>
    <row r="4" spans="2:14" s="78" customFormat="1" ht="17" thickBot="1" x14ac:dyDescent="0.25">
      <c r="B4" s="79"/>
      <c r="C4" s="75"/>
      <c r="D4" s="80"/>
      <c r="F4" s="271" t="s">
        <v>87</v>
      </c>
      <c r="G4" s="272"/>
      <c r="H4" s="272"/>
      <c r="I4" s="273"/>
    </row>
    <row r="5" spans="2:14" s="78" customFormat="1" ht="31.75" customHeight="1" thickBot="1" x14ac:dyDescent="0.25">
      <c r="B5" s="268" t="s">
        <v>81</v>
      </c>
      <c r="C5" s="269"/>
      <c r="D5" s="270"/>
      <c r="F5" s="164" t="s">
        <v>88</v>
      </c>
      <c r="G5" s="100" t="s">
        <v>89</v>
      </c>
      <c r="H5" s="100" t="s">
        <v>121</v>
      </c>
      <c r="I5" s="101" t="s">
        <v>122</v>
      </c>
    </row>
    <row r="6" spans="2:14" x14ac:dyDescent="0.2">
      <c r="B6" s="102"/>
      <c r="D6" s="76"/>
      <c r="F6" s="154"/>
      <c r="H6" s="107"/>
      <c r="I6" s="155"/>
      <c r="K6" s="78"/>
      <c r="L6" s="78"/>
      <c r="M6" s="78"/>
      <c r="N6" s="78"/>
    </row>
    <row r="7" spans="2:14" x14ac:dyDescent="0.2">
      <c r="B7" s="102"/>
      <c r="D7" s="76"/>
      <c r="F7" s="154"/>
      <c r="H7" s="107"/>
      <c r="I7" s="155"/>
      <c r="K7" s="78"/>
      <c r="L7" s="78"/>
      <c r="M7" s="78"/>
      <c r="N7" s="78"/>
    </row>
    <row r="8" spans="2:14" x14ac:dyDescent="0.2">
      <c r="B8" s="102" t="s">
        <v>14</v>
      </c>
      <c r="D8" s="76">
        <f>+Substructure!F94</f>
        <v>43020.682499999995</v>
      </c>
      <c r="F8" s="177">
        <f>+Substructure!K94</f>
        <v>27904.187500000004</v>
      </c>
      <c r="G8" s="178">
        <f>+Substructure!L94</f>
        <v>15116.494999999999</v>
      </c>
      <c r="H8" s="107">
        <f>+Substructure!M94</f>
        <v>4185.6281250000002</v>
      </c>
      <c r="I8" s="155">
        <f>+Substructure!N94</f>
        <v>2267.4742500000002</v>
      </c>
      <c r="K8" s="78"/>
      <c r="L8" s="78"/>
      <c r="M8" s="78"/>
      <c r="N8" s="78"/>
    </row>
    <row r="9" spans="2:14" x14ac:dyDescent="0.2">
      <c r="B9" s="102"/>
      <c r="D9" s="76"/>
      <c r="F9" s="154"/>
      <c r="H9" s="107"/>
      <c r="I9" s="155"/>
      <c r="K9" s="78"/>
      <c r="L9" s="78"/>
      <c r="M9" s="78"/>
      <c r="N9" s="78"/>
    </row>
    <row r="10" spans="2:14" x14ac:dyDescent="0.2">
      <c r="B10" s="102"/>
      <c r="D10" s="76"/>
      <c r="F10" s="154"/>
      <c r="H10" s="107"/>
      <c r="I10" s="155"/>
      <c r="K10" s="78"/>
      <c r="L10" s="78"/>
      <c r="M10" s="78"/>
      <c r="N10" s="78"/>
    </row>
    <row r="11" spans="2:14" ht="17" thickBot="1" x14ac:dyDescent="0.25">
      <c r="B11" s="103"/>
      <c r="D11" s="76"/>
      <c r="F11" s="154"/>
      <c r="H11" s="107"/>
      <c r="I11" s="155"/>
      <c r="K11" s="78"/>
      <c r="L11" s="78"/>
      <c r="M11" s="78"/>
      <c r="N11" s="78"/>
    </row>
    <row r="12" spans="2:14" s="108" customFormat="1" ht="30.25" customHeight="1" thickBot="1" x14ac:dyDescent="0.25">
      <c r="B12" s="104" t="s">
        <v>82</v>
      </c>
      <c r="C12" s="105"/>
      <c r="D12" s="106">
        <f>SUM(D3:D11)</f>
        <v>43020.682499999995</v>
      </c>
      <c r="E12" s="78"/>
      <c r="F12" s="180">
        <f>SUM(F6:F10)</f>
        <v>27904.187500000004</v>
      </c>
      <c r="G12" s="179">
        <f>SUM(G6:G11)</f>
        <v>15116.494999999999</v>
      </c>
      <c r="H12" s="192">
        <f>SUM(H6:H11)</f>
        <v>4185.6281250000002</v>
      </c>
      <c r="I12" s="176">
        <f>SUM(I6:I11)</f>
        <v>2267.4742500000002</v>
      </c>
      <c r="J12" s="79"/>
      <c r="K12" s="78"/>
      <c r="L12" s="78"/>
      <c r="M12" s="78"/>
      <c r="N12" s="78"/>
    </row>
    <row r="13" spans="2:14" x14ac:dyDescent="0.2">
      <c r="B13" s="109"/>
      <c r="D13" s="110"/>
      <c r="F13" s="154"/>
      <c r="H13" s="107"/>
      <c r="I13" s="155"/>
      <c r="K13" s="78"/>
      <c r="L13" s="78"/>
      <c r="M13" s="78"/>
      <c r="N13" s="78"/>
    </row>
    <row r="14" spans="2:14" x14ac:dyDescent="0.2">
      <c r="B14" s="102" t="s">
        <v>9</v>
      </c>
      <c r="C14" s="111"/>
      <c r="D14" s="110">
        <f>+Preliminaries!F65</f>
        <v>17370</v>
      </c>
      <c r="F14" s="154"/>
      <c r="H14" s="107"/>
      <c r="I14" s="155"/>
      <c r="K14" s="78"/>
      <c r="L14" s="78"/>
      <c r="M14" s="78"/>
      <c r="N14" s="78"/>
    </row>
    <row r="15" spans="2:14" ht="17" thickBot="1" x14ac:dyDescent="0.25">
      <c r="B15" s="109"/>
      <c r="D15" s="110"/>
      <c r="F15" s="154"/>
      <c r="H15" s="107"/>
      <c r="I15" s="155"/>
      <c r="K15" s="78"/>
      <c r="L15" s="78"/>
      <c r="M15" s="78"/>
      <c r="N15" s="78"/>
    </row>
    <row r="16" spans="2:14" ht="34.5" customHeight="1" thickBot="1" x14ac:dyDescent="0.25">
      <c r="B16" s="112" t="s">
        <v>83</v>
      </c>
      <c r="C16" s="105"/>
      <c r="D16" s="106">
        <f>+D14+D12</f>
        <v>60390.682499999995</v>
      </c>
      <c r="F16" s="154"/>
      <c r="I16" s="172"/>
    </row>
    <row r="17" spans="2:13" x14ac:dyDescent="0.2">
      <c r="B17" s="113"/>
      <c r="C17" s="114"/>
      <c r="D17" s="115"/>
      <c r="F17" s="154"/>
      <c r="I17" s="172"/>
    </row>
    <row r="18" spans="2:13" ht="17" x14ac:dyDescent="0.2">
      <c r="B18" s="116" t="s">
        <v>84</v>
      </c>
      <c r="C18" s="117">
        <f>+Preliminaries!J4</f>
        <v>0</v>
      </c>
      <c r="D18" s="118" t="s">
        <v>85</v>
      </c>
      <c r="F18" s="154"/>
      <c r="I18" s="172"/>
    </row>
    <row r="19" spans="2:13" ht="17" thickBot="1" x14ac:dyDescent="0.25">
      <c r="B19" s="119"/>
      <c r="C19" s="120"/>
      <c r="D19" s="77"/>
      <c r="F19" s="173"/>
      <c r="G19" s="174"/>
      <c r="H19" s="194"/>
      <c r="I19" s="175"/>
    </row>
    <row r="28" spans="2:13" s="78" customFormat="1" x14ac:dyDescent="0.2">
      <c r="B28" s="121"/>
      <c r="C28" s="122"/>
      <c r="D28" s="123"/>
      <c r="F28" s="107"/>
      <c r="G28" s="107"/>
      <c r="H28" s="171"/>
      <c r="I28" s="171"/>
      <c r="J28" s="79"/>
      <c r="K28" s="79"/>
      <c r="L28" s="79"/>
      <c r="M28" s="79"/>
    </row>
    <row r="29" spans="2:13" s="78" customFormat="1" x14ac:dyDescent="0.2">
      <c r="B29" s="121"/>
      <c r="C29" s="122"/>
      <c r="D29" s="123"/>
      <c r="F29" s="107"/>
      <c r="G29" s="107"/>
      <c r="H29" s="171"/>
      <c r="I29" s="171"/>
      <c r="J29" s="79"/>
      <c r="K29" s="79"/>
      <c r="L29" s="79"/>
      <c r="M29" s="79"/>
    </row>
    <row r="30" spans="2:13" s="78" customFormat="1" x14ac:dyDescent="0.2">
      <c r="B30" s="121"/>
      <c r="C30" s="122"/>
      <c r="D30" s="123"/>
      <c r="F30" s="107"/>
      <c r="G30" s="107"/>
      <c r="H30" s="171"/>
      <c r="I30" s="171"/>
      <c r="J30" s="79"/>
      <c r="K30" s="79"/>
      <c r="L30" s="79"/>
      <c r="M30" s="79"/>
    </row>
    <row r="31" spans="2:13" s="78" customFormat="1" x14ac:dyDescent="0.2">
      <c r="B31" s="124"/>
      <c r="C31" s="75"/>
      <c r="D31" s="80"/>
      <c r="F31" s="107"/>
      <c r="G31" s="107"/>
      <c r="H31" s="171"/>
      <c r="I31" s="171"/>
      <c r="J31" s="79"/>
      <c r="K31" s="79"/>
      <c r="L31" s="79"/>
      <c r="M31" s="79"/>
    </row>
    <row r="32" spans="2:13" s="78" customFormat="1" x14ac:dyDescent="0.2">
      <c r="B32" s="125"/>
      <c r="C32" s="126"/>
      <c r="D32" s="127"/>
      <c r="F32" s="107"/>
      <c r="G32" s="107"/>
      <c r="H32" s="171"/>
      <c r="I32" s="171"/>
      <c r="J32" s="79"/>
      <c r="K32" s="79"/>
      <c r="L32" s="79"/>
      <c r="M32" s="79"/>
    </row>
    <row r="34" spans="2:13" s="78" customFormat="1" x14ac:dyDescent="0.2">
      <c r="B34" s="125"/>
      <c r="C34" s="126"/>
      <c r="D34" s="127"/>
      <c r="F34" s="107"/>
      <c r="G34" s="107"/>
      <c r="H34" s="171"/>
      <c r="I34" s="171"/>
      <c r="J34" s="79"/>
      <c r="K34" s="79"/>
      <c r="L34" s="79"/>
      <c r="M34" s="79"/>
    </row>
    <row r="37" spans="2:13" s="78" customFormat="1" x14ac:dyDescent="0.2">
      <c r="B37" s="125"/>
      <c r="C37" s="126"/>
      <c r="D37" s="127"/>
      <c r="F37" s="107"/>
      <c r="G37" s="107"/>
      <c r="H37" s="171"/>
      <c r="I37" s="171"/>
      <c r="J37" s="79"/>
      <c r="K37" s="79"/>
      <c r="L37" s="79"/>
      <c r="M37" s="79"/>
    </row>
    <row r="38" spans="2:13" s="78" customFormat="1" x14ac:dyDescent="0.2">
      <c r="B38" s="128"/>
      <c r="C38" s="129"/>
      <c r="D38" s="130"/>
      <c r="F38" s="107"/>
      <c r="G38" s="107"/>
      <c r="H38" s="171"/>
      <c r="I38" s="171"/>
      <c r="J38" s="79"/>
      <c r="K38" s="79"/>
      <c r="L38" s="79"/>
      <c r="M38" s="79"/>
    </row>
    <row r="40" spans="2:13" s="78" customFormat="1" x14ac:dyDescent="0.2">
      <c r="B40" s="124"/>
      <c r="C40" s="75"/>
      <c r="D40" s="80"/>
      <c r="F40" s="107"/>
      <c r="G40" s="107"/>
      <c r="H40" s="171"/>
      <c r="I40" s="171"/>
      <c r="J40" s="79"/>
      <c r="K40" s="79"/>
      <c r="L40" s="79"/>
      <c r="M40" s="79"/>
    </row>
  </sheetData>
  <mergeCells count="2">
    <mergeCell ref="B5:D5"/>
    <mergeCell ref="F4:I4"/>
  </mergeCells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Q95"/>
  <sheetViews>
    <sheetView zoomScale="90" zoomScaleNormal="55" workbookViewId="0">
      <selection activeCell="F95" sqref="F95"/>
    </sheetView>
  </sheetViews>
  <sheetFormatPr baseColWidth="10" defaultColWidth="9.1640625" defaultRowHeight="16" x14ac:dyDescent="0.2"/>
  <cols>
    <col min="1" max="1" width="5.5" style="16" customWidth="1"/>
    <col min="2" max="2" width="80.83203125" style="21" customWidth="1"/>
    <col min="3" max="3" width="12.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20" customWidth="1"/>
    <col min="15" max="15" width="10.5" style="16" bestFit="1" customWidth="1"/>
    <col min="16" max="16384" width="9.1640625" style="16"/>
  </cols>
  <sheetData>
    <row r="1" spans="1:17" x14ac:dyDescent="0.2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2">
      <c r="A2" s="15"/>
      <c r="B2" s="3" t="str">
        <f>+'Qual, Excl &amp; Assum'!B2</f>
        <v xml:space="preserve">PROJECT: Rothiemurchus </v>
      </c>
      <c r="F2" s="35"/>
    </row>
    <row r="3" spans="1:17" x14ac:dyDescent="0.2">
      <c r="A3" s="15"/>
      <c r="B3" s="53" t="str">
        <f>+'Qual, Excl &amp; Assum'!B3</f>
        <v>DATE: 28 SEPTEMBER 2025</v>
      </c>
      <c r="F3" s="35"/>
    </row>
    <row r="4" spans="1:17" s="21" customFormat="1" ht="17" thickBot="1" x14ac:dyDescent="0.2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7" s="21" customFormat="1" ht="37.5" customHeight="1" thickBot="1" x14ac:dyDescent="0.3">
      <c r="A5" s="149"/>
      <c r="B5" s="153" t="s">
        <v>14</v>
      </c>
      <c r="C5" s="150"/>
      <c r="D5" s="151"/>
      <c r="E5" s="152"/>
      <c r="F5" s="156"/>
      <c r="G5" s="274" t="s">
        <v>86</v>
      </c>
      <c r="H5" s="275"/>
      <c r="I5" s="275"/>
      <c r="J5" s="276"/>
      <c r="K5" s="275" t="s">
        <v>87</v>
      </c>
      <c r="L5" s="275"/>
      <c r="M5" s="275"/>
      <c r="N5" s="276"/>
    </row>
    <row r="6" spans="1:17" s="21" customFormat="1" ht="19" x14ac:dyDescent="0.25">
      <c r="A6" s="49"/>
      <c r="B6" s="38"/>
      <c r="C6" s="132"/>
      <c r="D6" s="38"/>
      <c r="E6" s="64"/>
      <c r="F6" s="157"/>
      <c r="G6" s="187"/>
      <c r="H6" s="64"/>
      <c r="I6" s="64"/>
      <c r="J6" s="162"/>
      <c r="K6" s="20"/>
      <c r="L6" s="20"/>
      <c r="M6" s="20"/>
      <c r="N6" s="35"/>
    </row>
    <row r="7" spans="1:17" s="21" customFormat="1" ht="19" x14ac:dyDescent="0.25">
      <c r="A7" s="49"/>
      <c r="B7" s="3" t="s">
        <v>3</v>
      </c>
      <c r="C7" s="189" t="s">
        <v>8</v>
      </c>
      <c r="D7" s="190" t="s">
        <v>2</v>
      </c>
      <c r="E7" s="54" t="s">
        <v>1</v>
      </c>
      <c r="F7" s="191" t="s">
        <v>0</v>
      </c>
      <c r="G7" s="192" t="s">
        <v>17</v>
      </c>
      <c r="H7" s="192" t="s">
        <v>18</v>
      </c>
      <c r="I7" s="192" t="s">
        <v>119</v>
      </c>
      <c r="J7" s="193" t="s">
        <v>120</v>
      </c>
      <c r="K7" s="192" t="s">
        <v>17</v>
      </c>
      <c r="L7" s="192" t="s">
        <v>18</v>
      </c>
      <c r="M7" s="192" t="s">
        <v>119</v>
      </c>
      <c r="N7" s="193" t="s">
        <v>120</v>
      </c>
    </row>
    <row r="8" spans="1:17" s="21" customFormat="1" ht="19" x14ac:dyDescent="0.25">
      <c r="A8" s="49"/>
      <c r="B8" s="138"/>
      <c r="C8" s="133"/>
      <c r="D8" s="61"/>
      <c r="E8" s="62"/>
      <c r="F8" s="158"/>
      <c r="G8" s="59"/>
      <c r="H8" s="48"/>
      <c r="I8" s="48"/>
      <c r="J8" s="163"/>
      <c r="K8" s="20"/>
      <c r="L8" s="20"/>
      <c r="M8" s="20"/>
      <c r="N8" s="159" t="str">
        <f t="shared" ref="N8:N48" si="0">IF(D8=0," ",(J8*C8))</f>
        <v xml:space="preserve"> </v>
      </c>
    </row>
    <row r="9" spans="1:17" s="21" customFormat="1" ht="20" x14ac:dyDescent="0.25">
      <c r="A9" s="49"/>
      <c r="B9" s="139" t="s">
        <v>29</v>
      </c>
      <c r="C9" s="133"/>
      <c r="D9" s="61"/>
      <c r="E9" s="62"/>
      <c r="F9" s="158"/>
      <c r="G9" s="59"/>
      <c r="H9" s="48"/>
      <c r="I9" s="48"/>
      <c r="J9" s="163"/>
      <c r="K9" s="20"/>
      <c r="L9" s="20"/>
      <c r="M9" s="20"/>
      <c r="N9" s="159" t="str">
        <f t="shared" si="0"/>
        <v xml:space="preserve"> </v>
      </c>
      <c r="Q9" s="21">
        <f>2.25*74</f>
        <v>166.5</v>
      </c>
    </row>
    <row r="10" spans="1:17" s="21" customFormat="1" ht="19" x14ac:dyDescent="0.25">
      <c r="A10" s="49"/>
      <c r="B10" s="139"/>
      <c r="C10" s="133"/>
      <c r="D10" s="61"/>
      <c r="E10" s="62"/>
      <c r="F10" s="158"/>
      <c r="G10" s="59"/>
      <c r="H10" s="48"/>
      <c r="I10" s="48"/>
      <c r="J10" s="163"/>
      <c r="K10" s="20"/>
      <c r="L10" s="20"/>
      <c r="M10" s="20"/>
      <c r="N10" s="159"/>
    </row>
    <row r="11" spans="1:17" s="38" customFormat="1" ht="19" x14ac:dyDescent="0.25">
      <c r="A11" s="71" t="str">
        <f>IF(F11&lt;&gt;"",(LARGE(A$7:A10,1)+1),"")</f>
        <v/>
      </c>
      <c r="B11" s="135"/>
      <c r="C11" s="132"/>
      <c r="D11" s="51"/>
      <c r="E11" s="48"/>
      <c r="F11" s="159"/>
      <c r="G11" s="59"/>
      <c r="H11" s="48"/>
      <c r="I11" s="48"/>
      <c r="J11" s="159"/>
      <c r="K11" s="59"/>
      <c r="L11" s="48"/>
      <c r="M11" s="48"/>
      <c r="N11" s="159"/>
    </row>
    <row r="12" spans="1:17" s="38" customFormat="1" ht="20" x14ac:dyDescent="0.25">
      <c r="A12" s="71" t="str">
        <f>IF(F12&lt;&gt;"",(LARGE(A$7:A10,1)+1),"")</f>
        <v/>
      </c>
      <c r="B12" s="146" t="s">
        <v>137</v>
      </c>
      <c r="C12" s="136"/>
      <c r="D12" s="51"/>
      <c r="E12" s="48"/>
      <c r="F12" s="159"/>
      <c r="G12" s="59"/>
      <c r="H12" s="48"/>
      <c r="I12" s="48"/>
      <c r="J12" s="159"/>
      <c r="K12" s="59"/>
      <c r="L12" s="48"/>
      <c r="M12" s="48"/>
      <c r="N12" s="159" t="str">
        <f t="shared" si="0"/>
        <v xml:space="preserve"> </v>
      </c>
      <c r="O12" s="195"/>
      <c r="P12" s="51"/>
      <c r="Q12" s="51"/>
    </row>
    <row r="13" spans="1:17" s="38" customFormat="1" ht="19" x14ac:dyDescent="0.25">
      <c r="A13" s="71" t="str">
        <f>IF(F13&lt;&gt;"",(LARGE(A$7:A11,1)+1),"")</f>
        <v/>
      </c>
      <c r="B13" s="146"/>
      <c r="C13" s="136"/>
      <c r="D13" s="51"/>
      <c r="E13" s="48"/>
      <c r="F13" s="159"/>
      <c r="G13" s="59"/>
      <c r="H13" s="48"/>
      <c r="I13" s="48"/>
      <c r="J13" s="159"/>
      <c r="K13" s="59"/>
      <c r="L13" s="48"/>
      <c r="M13" s="48"/>
      <c r="N13" s="159"/>
      <c r="O13" s="195"/>
      <c r="P13" s="51"/>
      <c r="Q13" s="51"/>
    </row>
    <row r="14" spans="1:17" s="38" customFormat="1" ht="20" x14ac:dyDescent="0.25">
      <c r="A14" s="71">
        <v>1</v>
      </c>
      <c r="B14" s="134" t="s">
        <v>138</v>
      </c>
      <c r="C14" s="132">
        <f>+C18*0.45*1</f>
        <v>46.372500000000002</v>
      </c>
      <c r="D14" s="51" t="s">
        <v>26</v>
      </c>
      <c r="E14" s="48">
        <f t="shared" ref="E14:E20" si="1">G14+H14</f>
        <v>115</v>
      </c>
      <c r="F14" s="159">
        <f t="shared" ref="F14" si="2">E14*C14</f>
        <v>5332.8375000000005</v>
      </c>
      <c r="G14" s="59">
        <v>115</v>
      </c>
      <c r="H14" s="48">
        <v>0</v>
      </c>
      <c r="I14" s="48">
        <f>IF(D14=0," ",(G14)*(Details!$C$4+Details!$C$8))</f>
        <v>17.250000000000004</v>
      </c>
      <c r="J14" s="159">
        <f>IF(D14=0," ",(H14)*(Details!$C$6+Details!$C$8))</f>
        <v>0</v>
      </c>
      <c r="K14" s="59">
        <f t="shared" ref="K14" si="3">+G14*C14</f>
        <v>5332.8375000000005</v>
      </c>
      <c r="L14" s="48">
        <f t="shared" ref="L14" si="4">+H14*C14</f>
        <v>0</v>
      </c>
      <c r="M14" s="48">
        <f t="shared" ref="M14" si="5">IF(D14=0," ",(I14*C14))</f>
        <v>799.9256250000002</v>
      </c>
      <c r="N14" s="159">
        <f t="shared" si="0"/>
        <v>0</v>
      </c>
      <c r="O14" s="195"/>
      <c r="P14" s="51"/>
      <c r="Q14" s="51"/>
    </row>
    <row r="15" spans="1:17" s="38" customFormat="1" ht="19" x14ac:dyDescent="0.25">
      <c r="A15" s="71" t="str">
        <f>IF(F15&lt;&gt;"",(LARGE(A$7:A13,1)+1),"")</f>
        <v/>
      </c>
      <c r="B15" s="134"/>
      <c r="C15" s="132"/>
      <c r="D15" s="51"/>
      <c r="E15" s="48"/>
      <c r="F15" s="159"/>
      <c r="G15" s="59"/>
      <c r="H15" s="48"/>
      <c r="I15" s="48"/>
      <c r="J15" s="159"/>
      <c r="K15" s="59"/>
      <c r="L15" s="48"/>
      <c r="M15" s="48"/>
      <c r="N15" s="159" t="str">
        <f t="shared" si="0"/>
        <v xml:space="preserve"> </v>
      </c>
      <c r="O15" s="195"/>
      <c r="P15" s="51"/>
      <c r="Q15" s="51"/>
    </row>
    <row r="16" spans="1:17" s="38" customFormat="1" ht="20" x14ac:dyDescent="0.25">
      <c r="A16" s="71">
        <f>IF(F16&lt;&gt;"",(LARGE(A$7:A14,1)+1),"")</f>
        <v>2</v>
      </c>
      <c r="B16" s="134" t="s">
        <v>27</v>
      </c>
      <c r="C16" s="132">
        <f>C14</f>
        <v>46.372500000000002</v>
      </c>
      <c r="D16" s="51" t="s">
        <v>26</v>
      </c>
      <c r="E16" s="48">
        <f t="shared" si="1"/>
        <v>42</v>
      </c>
      <c r="F16" s="159">
        <f t="shared" ref="F16" si="6">E16*C16</f>
        <v>1947.645</v>
      </c>
      <c r="G16" s="59">
        <v>42</v>
      </c>
      <c r="H16" s="48">
        <v>0</v>
      </c>
      <c r="I16" s="48">
        <f>IF(D16=0," ",(G16)*(Details!$C$4+Details!$C$8))</f>
        <v>6.3000000000000007</v>
      </c>
      <c r="J16" s="159">
        <f>IF(D16=0," ",(H16)*(Details!$C$6+Details!$C$8))</f>
        <v>0</v>
      </c>
      <c r="K16" s="59">
        <f t="shared" ref="K16" si="7">+G16*C16</f>
        <v>1947.645</v>
      </c>
      <c r="L16" s="48">
        <f t="shared" ref="L16" si="8">+H16*C16</f>
        <v>0</v>
      </c>
      <c r="M16" s="48">
        <f t="shared" ref="M16" si="9">IF(D16=0," ",(I16*C16))</f>
        <v>292.14675000000005</v>
      </c>
      <c r="N16" s="159">
        <f t="shared" si="0"/>
        <v>0</v>
      </c>
      <c r="O16" s="195"/>
      <c r="P16" s="51"/>
      <c r="Q16" s="51"/>
    </row>
    <row r="17" spans="1:17" s="38" customFormat="1" ht="19" x14ac:dyDescent="0.25">
      <c r="A17" s="71" t="str">
        <f>IF(F17&lt;&gt;"",(LARGE(A$7:A15,1)+1),"")</f>
        <v/>
      </c>
      <c r="B17" s="134"/>
      <c r="C17" s="132"/>
      <c r="D17" s="51"/>
      <c r="E17" s="48"/>
      <c r="F17" s="159"/>
      <c r="G17" s="59"/>
      <c r="H17" s="48"/>
      <c r="I17" s="48"/>
      <c r="J17" s="159"/>
      <c r="K17" s="59"/>
      <c r="L17" s="48"/>
      <c r="M17" s="48"/>
      <c r="N17" s="159" t="str">
        <f t="shared" si="0"/>
        <v xml:space="preserve"> </v>
      </c>
      <c r="O17" s="195"/>
      <c r="P17" s="51"/>
      <c r="Q17" s="51"/>
    </row>
    <row r="18" spans="1:17" s="38" customFormat="1" ht="19" x14ac:dyDescent="0.25">
      <c r="A18" s="71">
        <f>IF(F18&lt;&gt;"",(LARGE(A$7:A16,1)+1),"")</f>
        <v>3</v>
      </c>
      <c r="B18" s="38" t="s">
        <v>158</v>
      </c>
      <c r="C18" s="136">
        <v>103.05</v>
      </c>
      <c r="D18" s="51" t="s">
        <v>13</v>
      </c>
      <c r="E18" s="48">
        <f t="shared" si="1"/>
        <v>22.22</v>
      </c>
      <c r="F18" s="159">
        <f t="shared" ref="F18" si="10">E18*C18</f>
        <v>2289.7709999999997</v>
      </c>
      <c r="G18" s="59">
        <v>13.22</v>
      </c>
      <c r="H18" s="48">
        <v>9</v>
      </c>
      <c r="I18" s="48">
        <f>IF(D18=0," ",(G18)*(Details!$C$4+Details!$C$8))</f>
        <v>1.9830000000000003</v>
      </c>
      <c r="J18" s="159">
        <f>IF(D18=0," ",(H18)*(Details!$C$6+Details!$C$8))</f>
        <v>1.35</v>
      </c>
      <c r="K18" s="59">
        <f t="shared" ref="K18" si="11">+G18*C18</f>
        <v>1362.3210000000001</v>
      </c>
      <c r="L18" s="48">
        <f t="shared" ref="L18" si="12">+H18*C18</f>
        <v>927.44999999999993</v>
      </c>
      <c r="M18" s="48">
        <f t="shared" ref="M18" si="13">IF(D18=0," ",(I18*C18))</f>
        <v>204.34815000000003</v>
      </c>
      <c r="N18" s="159">
        <f t="shared" si="0"/>
        <v>139.11750000000001</v>
      </c>
      <c r="O18" s="195"/>
      <c r="P18" s="51"/>
      <c r="Q18" s="51"/>
    </row>
    <row r="19" spans="1:17" s="38" customFormat="1" ht="19" x14ac:dyDescent="0.25">
      <c r="A19" s="71" t="str">
        <f>IF(F19&lt;&gt;"",(LARGE(A$7:A17,1)+1),"")</f>
        <v/>
      </c>
      <c r="C19" s="136"/>
      <c r="D19" s="51"/>
      <c r="E19" s="48"/>
      <c r="F19" s="159"/>
      <c r="G19" s="59"/>
      <c r="H19" s="48"/>
      <c r="I19" s="48"/>
      <c r="J19" s="159"/>
      <c r="K19" s="59"/>
      <c r="L19" s="48"/>
      <c r="M19" s="48"/>
      <c r="N19" s="159" t="str">
        <f t="shared" si="0"/>
        <v xml:space="preserve"> </v>
      </c>
      <c r="O19" s="195"/>
      <c r="P19" s="51"/>
      <c r="Q19" s="51"/>
    </row>
    <row r="20" spans="1:17" s="38" customFormat="1" ht="19" x14ac:dyDescent="0.25">
      <c r="A20" s="71">
        <f>IF(F20&lt;&gt;"",(LARGE(A$7:A18,1)+1),"")</f>
        <v>4</v>
      </c>
      <c r="B20" s="38" t="s">
        <v>151</v>
      </c>
      <c r="C20" s="136">
        <f>C18</f>
        <v>103.05</v>
      </c>
      <c r="D20" s="51" t="s">
        <v>13</v>
      </c>
      <c r="E20" s="48">
        <f t="shared" si="1"/>
        <v>14.9</v>
      </c>
      <c r="F20" s="159">
        <f t="shared" ref="F20" si="14">E20*C20</f>
        <v>1535.4449999999999</v>
      </c>
      <c r="G20" s="59">
        <v>8.4</v>
      </c>
      <c r="H20" s="48">
        <v>6.5</v>
      </c>
      <c r="I20" s="48">
        <f>IF(D20=0," ",(G20)*(Details!$C$4+Details!$C$8))</f>
        <v>1.2600000000000002</v>
      </c>
      <c r="J20" s="159">
        <f>IF(D20=0," ",(H20)*(Details!$C$6+Details!$C$8))</f>
        <v>0.97500000000000009</v>
      </c>
      <c r="K20" s="59">
        <f t="shared" ref="K20" si="15">+G20*C20</f>
        <v>865.62</v>
      </c>
      <c r="L20" s="48">
        <f t="shared" ref="L20" si="16">+H20*C20</f>
        <v>669.82499999999993</v>
      </c>
      <c r="M20" s="48">
        <f t="shared" ref="M20" si="17">IF(D20=0," ",(I20*C20))</f>
        <v>129.84300000000002</v>
      </c>
      <c r="N20" s="159">
        <f t="shared" si="0"/>
        <v>100.47375000000001</v>
      </c>
      <c r="O20" s="195"/>
      <c r="P20" s="51"/>
      <c r="Q20" s="51"/>
    </row>
    <row r="21" spans="1:17" s="38" customFormat="1" ht="19" x14ac:dyDescent="0.25">
      <c r="A21" s="71" t="str">
        <f>IF(F21&lt;&gt;"",(LARGE(A$7:A19,1)+1),"")</f>
        <v/>
      </c>
      <c r="C21" s="136"/>
      <c r="D21" s="51"/>
      <c r="E21" s="48"/>
      <c r="F21" s="159"/>
      <c r="G21" s="59"/>
      <c r="H21" s="48"/>
      <c r="I21" s="48"/>
      <c r="J21" s="159"/>
      <c r="K21" s="59"/>
      <c r="L21" s="48"/>
      <c r="M21" s="48"/>
      <c r="N21" s="159" t="str">
        <f t="shared" si="0"/>
        <v xml:space="preserve"> </v>
      </c>
      <c r="O21" s="195"/>
      <c r="P21" s="51"/>
      <c r="Q21" s="51"/>
    </row>
    <row r="22" spans="1:17" s="38" customFormat="1" ht="19" x14ac:dyDescent="0.25">
      <c r="A22" s="71">
        <f>IF(F22&lt;&gt;"",(LARGE(A$7:A20,1)+1),"")</f>
        <v>5</v>
      </c>
      <c r="B22" s="38" t="s">
        <v>139</v>
      </c>
      <c r="C22" s="136">
        <f>C16</f>
        <v>46.372500000000002</v>
      </c>
      <c r="D22" s="51" t="s">
        <v>26</v>
      </c>
      <c r="E22" s="48">
        <f t="shared" ref="E22:E56" si="18">G22+H22</f>
        <v>48</v>
      </c>
      <c r="F22" s="159">
        <f t="shared" ref="F22" si="19">E22*C22</f>
        <v>2225.88</v>
      </c>
      <c r="G22" s="59">
        <v>48</v>
      </c>
      <c r="H22" s="48">
        <v>0</v>
      </c>
      <c r="I22" s="48">
        <f>IF(D22=0," ",(G22)*(Details!$C$4+Details!$C$8))</f>
        <v>7.2000000000000011</v>
      </c>
      <c r="J22" s="159">
        <f>IF(D22=0," ",(H22)*(Details!$C$6+Details!$C$8))</f>
        <v>0</v>
      </c>
      <c r="K22" s="59">
        <f t="shared" ref="K22" si="20">+G22*C22</f>
        <v>2225.88</v>
      </c>
      <c r="L22" s="48">
        <f t="shared" ref="L22" si="21">+H22*C22</f>
        <v>0</v>
      </c>
      <c r="M22" s="48">
        <f t="shared" ref="M22" si="22">IF(D22=0," ",(I22*C22))</f>
        <v>333.88200000000006</v>
      </c>
      <c r="N22" s="159">
        <f t="shared" si="0"/>
        <v>0</v>
      </c>
      <c r="O22" s="195"/>
      <c r="P22" s="51"/>
      <c r="Q22" s="51"/>
    </row>
    <row r="23" spans="1:17" s="38" customFormat="1" ht="19" x14ac:dyDescent="0.25">
      <c r="A23" s="71" t="str">
        <f>IF(F23&lt;&gt;"",(LARGE(A$7:A21,1)+1),"")</f>
        <v/>
      </c>
      <c r="C23" s="136"/>
      <c r="D23" s="51"/>
      <c r="E23" s="48"/>
      <c r="F23" s="159"/>
      <c r="G23" s="59"/>
      <c r="H23" s="48"/>
      <c r="I23" s="48"/>
      <c r="J23" s="159"/>
      <c r="K23" s="59"/>
      <c r="L23" s="48"/>
      <c r="M23" s="48"/>
      <c r="N23" s="159" t="str">
        <f t="shared" si="0"/>
        <v xml:space="preserve"> </v>
      </c>
      <c r="O23" s="195"/>
      <c r="P23" s="51"/>
      <c r="Q23" s="51"/>
    </row>
    <row r="24" spans="1:17" s="38" customFormat="1" ht="19" x14ac:dyDescent="0.25">
      <c r="A24" s="71">
        <f>IF(F24&lt;&gt;"",(LARGE(A$7:A22,1)+1),"")</f>
        <v>6</v>
      </c>
      <c r="B24" s="38" t="s">
        <v>140</v>
      </c>
      <c r="C24" s="136">
        <v>1</v>
      </c>
      <c r="D24" s="51" t="s">
        <v>11</v>
      </c>
      <c r="E24" s="48">
        <f t="shared" si="18"/>
        <v>100</v>
      </c>
      <c r="F24" s="159">
        <f t="shared" ref="F24" si="23">E24*C24</f>
        <v>100</v>
      </c>
      <c r="G24" s="59">
        <v>50</v>
      </c>
      <c r="H24" s="48">
        <v>50</v>
      </c>
      <c r="I24" s="48">
        <f>IF(D24=0," ",(G24)*(Details!$C$4+Details!$C$8))</f>
        <v>7.5000000000000009</v>
      </c>
      <c r="J24" s="159">
        <f>IF(D24=0," ",(H24)*(Details!$C$6+Details!$C$8))</f>
        <v>7.5000000000000009</v>
      </c>
      <c r="K24" s="59">
        <f t="shared" ref="K24" si="24">+G24*C24</f>
        <v>50</v>
      </c>
      <c r="L24" s="48">
        <f t="shared" ref="L24" si="25">+H24*C24</f>
        <v>50</v>
      </c>
      <c r="M24" s="48">
        <f t="shared" ref="M24" si="26">IF(D24=0," ",(I24*C24))</f>
        <v>7.5000000000000009</v>
      </c>
      <c r="N24" s="159">
        <f t="shared" si="0"/>
        <v>7.5000000000000009</v>
      </c>
      <c r="O24" s="195"/>
      <c r="P24" s="51"/>
      <c r="Q24" s="51"/>
    </row>
    <row r="25" spans="1:17" s="38" customFormat="1" ht="19" x14ac:dyDescent="0.25">
      <c r="A25" s="71" t="str">
        <f>IF(F25&lt;&gt;"",(LARGE(A$7:A23,1)+1),"")</f>
        <v/>
      </c>
      <c r="B25" s="146"/>
      <c r="C25" s="136"/>
      <c r="D25" s="51"/>
      <c r="E25" s="48"/>
      <c r="F25" s="159"/>
      <c r="G25" s="59"/>
      <c r="H25" s="48"/>
      <c r="I25" s="48"/>
      <c r="J25" s="159"/>
      <c r="K25" s="59"/>
      <c r="L25" s="48"/>
      <c r="M25" s="48"/>
      <c r="N25" s="159"/>
      <c r="O25" s="195"/>
      <c r="P25" s="51"/>
      <c r="Q25" s="51"/>
    </row>
    <row r="26" spans="1:17" s="38" customFormat="1" ht="20" x14ac:dyDescent="0.25">
      <c r="A26" s="71">
        <f>IF(F26&lt;&gt;"",(LARGE(A$7:A24,1)+1),"")</f>
        <v>7</v>
      </c>
      <c r="B26" s="134" t="s">
        <v>138</v>
      </c>
      <c r="C26" s="132">
        <f>+C30*0.45*1</f>
        <v>44.568000000000005</v>
      </c>
      <c r="D26" s="51" t="s">
        <v>26</v>
      </c>
      <c r="E26" s="48">
        <f t="shared" ref="E26" si="27">G26+H26</f>
        <v>115</v>
      </c>
      <c r="F26" s="159">
        <f t="shared" ref="F26" si="28">E26*C26</f>
        <v>5125.3200000000006</v>
      </c>
      <c r="G26" s="59">
        <v>115</v>
      </c>
      <c r="H26" s="48">
        <v>0</v>
      </c>
      <c r="I26" s="48">
        <f>IF(D26=0," ",(G26)*(Details!$C$4+Details!$C$8))</f>
        <v>17.250000000000004</v>
      </c>
      <c r="J26" s="159">
        <f>IF(D26=0," ",(H26)*(Details!$C$6+Details!$C$8))</f>
        <v>0</v>
      </c>
      <c r="K26" s="59">
        <f t="shared" ref="K26" si="29">+G26*C26</f>
        <v>5125.3200000000006</v>
      </c>
      <c r="L26" s="48">
        <f t="shared" ref="L26" si="30">+H26*C26</f>
        <v>0</v>
      </c>
      <c r="M26" s="48">
        <f t="shared" ref="M26" si="31">IF(D26=0," ",(I26*C26))</f>
        <v>768.79800000000023</v>
      </c>
      <c r="N26" s="159">
        <f t="shared" ref="N26:N36" si="32">IF(D26=0," ",(J26*C26))</f>
        <v>0</v>
      </c>
      <c r="O26" s="195"/>
      <c r="P26" s="51"/>
      <c r="Q26" s="51"/>
    </row>
    <row r="27" spans="1:17" s="38" customFormat="1" ht="19" x14ac:dyDescent="0.25">
      <c r="A27" s="71" t="str">
        <f>IF(F27&lt;&gt;"",(LARGE(A$7:A25,1)+1),"")</f>
        <v/>
      </c>
      <c r="B27" s="134"/>
      <c r="C27" s="132"/>
      <c r="D27" s="51"/>
      <c r="E27" s="48"/>
      <c r="F27" s="159"/>
      <c r="G27" s="59"/>
      <c r="H27" s="48"/>
      <c r="I27" s="48"/>
      <c r="J27" s="159"/>
      <c r="K27" s="59"/>
      <c r="L27" s="48"/>
      <c r="M27" s="48"/>
      <c r="N27" s="159" t="str">
        <f t="shared" si="32"/>
        <v xml:space="preserve"> </v>
      </c>
      <c r="O27" s="195"/>
      <c r="P27" s="51"/>
      <c r="Q27" s="51"/>
    </row>
    <row r="28" spans="1:17" s="38" customFormat="1" ht="20" x14ac:dyDescent="0.25">
      <c r="A28" s="71">
        <f>IF(F28&lt;&gt;"",(LARGE(A$7:A26,1)+1),"")</f>
        <v>8</v>
      </c>
      <c r="B28" s="134" t="s">
        <v>27</v>
      </c>
      <c r="C28" s="132">
        <f>C26</f>
        <v>44.568000000000005</v>
      </c>
      <c r="D28" s="51" t="s">
        <v>26</v>
      </c>
      <c r="E28" s="48">
        <f t="shared" ref="E28" si="33">G28+H28</f>
        <v>42</v>
      </c>
      <c r="F28" s="159">
        <f t="shared" ref="F28" si="34">E28*C28</f>
        <v>1871.8560000000002</v>
      </c>
      <c r="G28" s="59">
        <v>42</v>
      </c>
      <c r="H28" s="48">
        <v>0</v>
      </c>
      <c r="I28" s="48">
        <f>IF(D28=0," ",(G28)*(Details!$C$4+Details!$C$8))</f>
        <v>6.3000000000000007</v>
      </c>
      <c r="J28" s="159">
        <f>IF(D28=0," ",(H28)*(Details!$C$6+Details!$C$8))</f>
        <v>0</v>
      </c>
      <c r="K28" s="59">
        <f t="shared" ref="K28" si="35">+G28*C28</f>
        <v>1871.8560000000002</v>
      </c>
      <c r="L28" s="48">
        <f t="shared" ref="L28" si="36">+H28*C28</f>
        <v>0</v>
      </c>
      <c r="M28" s="48">
        <f t="shared" ref="M28" si="37">IF(D28=0," ",(I28*C28))</f>
        <v>280.77840000000009</v>
      </c>
      <c r="N28" s="159">
        <f t="shared" si="32"/>
        <v>0</v>
      </c>
      <c r="O28" s="195"/>
      <c r="P28" s="51"/>
      <c r="Q28" s="51"/>
    </row>
    <row r="29" spans="1:17" s="38" customFormat="1" ht="19" x14ac:dyDescent="0.25">
      <c r="A29" s="71" t="str">
        <f>IF(F29&lt;&gt;"",(LARGE(A$7:A27,1)+1),"")</f>
        <v/>
      </c>
      <c r="B29" s="134"/>
      <c r="C29" s="132"/>
      <c r="D29" s="51"/>
      <c r="E29" s="48"/>
      <c r="F29" s="159"/>
      <c r="G29" s="59"/>
      <c r="H29" s="48"/>
      <c r="I29" s="48"/>
      <c r="J29" s="159"/>
      <c r="K29" s="59"/>
      <c r="L29" s="48"/>
      <c r="M29" s="48"/>
      <c r="N29" s="159" t="str">
        <f t="shared" si="32"/>
        <v xml:space="preserve"> </v>
      </c>
      <c r="O29" s="195"/>
      <c r="P29" s="51"/>
      <c r="Q29" s="51"/>
    </row>
    <row r="30" spans="1:17" s="38" customFormat="1" ht="19" x14ac:dyDescent="0.25">
      <c r="A30" s="71">
        <f>IF(F30&lt;&gt;"",(LARGE(A$7:A28,1)+1),"")</f>
        <v>9</v>
      </c>
      <c r="B30" s="38" t="s">
        <v>159</v>
      </c>
      <c r="C30" s="136">
        <v>99.04</v>
      </c>
      <c r="D30" s="51" t="s">
        <v>13</v>
      </c>
      <c r="E30" s="48">
        <f t="shared" ref="E30" si="38">G30+H30</f>
        <v>22.45</v>
      </c>
      <c r="F30" s="159">
        <f t="shared" ref="F30" si="39">E30*C30</f>
        <v>2223.4479999999999</v>
      </c>
      <c r="G30" s="59">
        <v>13.45</v>
      </c>
      <c r="H30" s="48">
        <v>9</v>
      </c>
      <c r="I30" s="48">
        <f>IF(D30=0," ",(G30)*(Details!$C$4+Details!$C$8))</f>
        <v>2.0175000000000001</v>
      </c>
      <c r="J30" s="159">
        <f>IF(D30=0," ",(H30)*(Details!$C$6+Details!$C$8))</f>
        <v>1.35</v>
      </c>
      <c r="K30" s="59">
        <f t="shared" ref="K30" si="40">+G30*C30</f>
        <v>1332.088</v>
      </c>
      <c r="L30" s="48">
        <f t="shared" ref="L30" si="41">+H30*C30</f>
        <v>891.36</v>
      </c>
      <c r="M30" s="48">
        <f t="shared" ref="M30" si="42">IF(D30=0," ",(I30*C30))</f>
        <v>199.81320000000002</v>
      </c>
      <c r="N30" s="159">
        <f t="shared" si="32"/>
        <v>133.70400000000001</v>
      </c>
      <c r="O30" s="195"/>
      <c r="P30" s="51"/>
      <c r="Q30" s="51"/>
    </row>
    <row r="31" spans="1:17" s="38" customFormat="1" ht="19" x14ac:dyDescent="0.25">
      <c r="A31" s="71" t="str">
        <f>IF(F31&lt;&gt;"",(LARGE(A$7:A29,1)+1),"")</f>
        <v/>
      </c>
      <c r="C31" s="136"/>
      <c r="D31" s="51"/>
      <c r="E31" s="48"/>
      <c r="F31" s="159"/>
      <c r="G31" s="59"/>
      <c r="H31" s="48"/>
      <c r="I31" s="48"/>
      <c r="J31" s="159"/>
      <c r="K31" s="59"/>
      <c r="L31" s="48"/>
      <c r="M31" s="48"/>
      <c r="N31" s="159" t="str">
        <f t="shared" si="32"/>
        <v xml:space="preserve"> </v>
      </c>
      <c r="O31" s="195"/>
      <c r="P31" s="51"/>
      <c r="Q31" s="51"/>
    </row>
    <row r="32" spans="1:17" s="38" customFormat="1" ht="19" x14ac:dyDescent="0.25">
      <c r="A32" s="71">
        <f>IF(F32&lt;&gt;"",(LARGE(A$7:A30,1)+1),"")</f>
        <v>10</v>
      </c>
      <c r="B32" s="38" t="s">
        <v>151</v>
      </c>
      <c r="C32" s="136">
        <f>C30</f>
        <v>99.04</v>
      </c>
      <c r="D32" s="51" t="s">
        <v>13</v>
      </c>
      <c r="E32" s="48">
        <f t="shared" ref="E32" si="43">G32+H32</f>
        <v>14.9</v>
      </c>
      <c r="F32" s="159">
        <f t="shared" ref="F32" si="44">E32*C32</f>
        <v>1475.6960000000001</v>
      </c>
      <c r="G32" s="59">
        <v>8.4</v>
      </c>
      <c r="H32" s="48">
        <v>6.5</v>
      </c>
      <c r="I32" s="48">
        <f>IF(D32=0," ",(G32)*(Details!$C$4+Details!$C$8))</f>
        <v>1.2600000000000002</v>
      </c>
      <c r="J32" s="159">
        <f>IF(D32=0," ",(H32)*(Details!$C$6+Details!$C$8))</f>
        <v>0.97500000000000009</v>
      </c>
      <c r="K32" s="59">
        <f t="shared" ref="K32" si="45">+G32*C32</f>
        <v>831.93600000000004</v>
      </c>
      <c r="L32" s="48">
        <f t="shared" ref="L32" si="46">+H32*C32</f>
        <v>643.76</v>
      </c>
      <c r="M32" s="48">
        <f t="shared" ref="M32" si="47">IF(D32=0," ",(I32*C32))</f>
        <v>124.79040000000003</v>
      </c>
      <c r="N32" s="159">
        <f t="shared" si="32"/>
        <v>96.564000000000021</v>
      </c>
      <c r="O32" s="195"/>
      <c r="P32" s="51"/>
      <c r="Q32" s="51"/>
    </row>
    <row r="33" spans="1:17" s="38" customFormat="1" ht="19" x14ac:dyDescent="0.25">
      <c r="A33" s="71" t="str">
        <f>IF(F33&lt;&gt;"",(LARGE(A$7:A31,1)+1),"")</f>
        <v/>
      </c>
      <c r="C33" s="136"/>
      <c r="D33" s="51"/>
      <c r="E33" s="48"/>
      <c r="F33" s="159"/>
      <c r="G33" s="59"/>
      <c r="H33" s="48"/>
      <c r="I33" s="48"/>
      <c r="J33" s="159"/>
      <c r="K33" s="59"/>
      <c r="L33" s="48"/>
      <c r="M33" s="48"/>
      <c r="N33" s="159" t="str">
        <f t="shared" si="32"/>
        <v xml:space="preserve"> </v>
      </c>
      <c r="O33" s="195"/>
      <c r="P33" s="51"/>
      <c r="Q33" s="51"/>
    </row>
    <row r="34" spans="1:17" s="38" customFormat="1" ht="19" x14ac:dyDescent="0.25">
      <c r="A34" s="71">
        <f>IF(F34&lt;&gt;"",(LARGE(A$7:A32,1)+1),"")</f>
        <v>11</v>
      </c>
      <c r="B34" s="38" t="s">
        <v>139</v>
      </c>
      <c r="C34" s="136">
        <f>C28</f>
        <v>44.568000000000005</v>
      </c>
      <c r="D34" s="51" t="s">
        <v>26</v>
      </c>
      <c r="E34" s="48">
        <f t="shared" ref="E34" si="48">G34+H34</f>
        <v>48</v>
      </c>
      <c r="F34" s="159">
        <f t="shared" ref="F34" si="49">E34*C34</f>
        <v>2139.2640000000001</v>
      </c>
      <c r="G34" s="59">
        <v>48</v>
      </c>
      <c r="H34" s="48">
        <v>0</v>
      </c>
      <c r="I34" s="48">
        <f>IF(D34=0," ",(G34)*(Details!$C$4+Details!$C$8))</f>
        <v>7.2000000000000011</v>
      </c>
      <c r="J34" s="159">
        <f>IF(D34=0," ",(H34)*(Details!$C$6+Details!$C$8))</f>
        <v>0</v>
      </c>
      <c r="K34" s="59">
        <f t="shared" ref="K34" si="50">+G34*C34</f>
        <v>2139.2640000000001</v>
      </c>
      <c r="L34" s="48">
        <f t="shared" ref="L34" si="51">+H34*C34</f>
        <v>0</v>
      </c>
      <c r="M34" s="48">
        <f t="shared" ref="M34" si="52">IF(D34=0," ",(I34*C34))</f>
        <v>320.88960000000009</v>
      </c>
      <c r="N34" s="159">
        <f t="shared" si="32"/>
        <v>0</v>
      </c>
      <c r="O34" s="195"/>
      <c r="P34" s="51"/>
      <c r="Q34" s="51"/>
    </row>
    <row r="35" spans="1:17" s="38" customFormat="1" ht="19" x14ac:dyDescent="0.25">
      <c r="A35" s="71" t="str">
        <f>IF(F35&lt;&gt;"",(LARGE(A$7:A33,1)+1),"")</f>
        <v/>
      </c>
      <c r="C35" s="136"/>
      <c r="D35" s="51"/>
      <c r="E35" s="48"/>
      <c r="F35" s="159"/>
      <c r="G35" s="59"/>
      <c r="H35" s="48"/>
      <c r="I35" s="48"/>
      <c r="J35" s="159"/>
      <c r="K35" s="59"/>
      <c r="L35" s="48"/>
      <c r="M35" s="48"/>
      <c r="N35" s="159" t="str">
        <f t="shared" si="32"/>
        <v xml:space="preserve"> </v>
      </c>
      <c r="O35" s="195"/>
      <c r="P35" s="51"/>
      <c r="Q35" s="51"/>
    </row>
    <row r="36" spans="1:17" s="38" customFormat="1" ht="19" x14ac:dyDescent="0.25">
      <c r="A36" s="71">
        <f>IF(F36&lt;&gt;"",(LARGE(A$7:A34,1)+1),"")</f>
        <v>12</v>
      </c>
      <c r="B36" s="38" t="s">
        <v>140</v>
      </c>
      <c r="C36" s="136">
        <v>1</v>
      </c>
      <c r="D36" s="51" t="s">
        <v>11</v>
      </c>
      <c r="E36" s="48">
        <f t="shared" ref="E36" si="53">G36+H36</f>
        <v>100</v>
      </c>
      <c r="F36" s="159">
        <f t="shared" ref="F36" si="54">E36*C36</f>
        <v>100</v>
      </c>
      <c r="G36" s="59">
        <v>50</v>
      </c>
      <c r="H36" s="48">
        <v>50</v>
      </c>
      <c r="I36" s="48">
        <f>IF(D36=0," ",(G36)*(Details!$C$4+Details!$C$8))</f>
        <v>7.5000000000000009</v>
      </c>
      <c r="J36" s="159">
        <f>IF(D36=0," ",(H36)*(Details!$C$6+Details!$C$8))</f>
        <v>7.5000000000000009</v>
      </c>
      <c r="K36" s="59">
        <f t="shared" ref="K36" si="55">+G36*C36</f>
        <v>50</v>
      </c>
      <c r="L36" s="48">
        <f t="shared" ref="L36" si="56">+H36*C36</f>
        <v>50</v>
      </c>
      <c r="M36" s="48">
        <f t="shared" ref="M36" si="57">IF(D36=0," ",(I36*C36))</f>
        <v>7.5000000000000009</v>
      </c>
      <c r="N36" s="159">
        <f t="shared" si="32"/>
        <v>7.5000000000000009</v>
      </c>
      <c r="O36" s="195"/>
      <c r="P36" s="51"/>
      <c r="Q36" s="51"/>
    </row>
    <row r="37" spans="1:17" s="38" customFormat="1" ht="19" x14ac:dyDescent="0.25">
      <c r="A37" s="71" t="str">
        <f>IF(F37&lt;&gt;"",(LARGE(A$7:A35,1)+1),"")</f>
        <v/>
      </c>
      <c r="B37" s="146"/>
      <c r="C37" s="136"/>
      <c r="D37" s="51"/>
      <c r="E37" s="48"/>
      <c r="F37" s="159"/>
      <c r="G37" s="59"/>
      <c r="H37" s="48"/>
      <c r="I37" s="48"/>
      <c r="J37" s="159"/>
      <c r="K37" s="59"/>
      <c r="L37" s="48"/>
      <c r="M37" s="48"/>
      <c r="N37" s="159"/>
      <c r="O37" s="195"/>
      <c r="P37" s="51"/>
      <c r="Q37" s="51"/>
    </row>
    <row r="38" spans="1:17" s="38" customFormat="1" ht="20" x14ac:dyDescent="0.25">
      <c r="A38" s="71" t="str">
        <f>IF(F38&lt;&gt;"",(LARGE(A$7:A36,1)+1),"")</f>
        <v/>
      </c>
      <c r="B38" s="146" t="s">
        <v>155</v>
      </c>
      <c r="C38" s="136"/>
      <c r="D38" s="51"/>
      <c r="E38" s="48"/>
      <c r="F38" s="159"/>
      <c r="G38" s="59"/>
      <c r="H38" s="48"/>
      <c r="I38" s="48"/>
      <c r="J38" s="159"/>
      <c r="K38" s="59"/>
      <c r="L38" s="48"/>
      <c r="M38" s="48"/>
      <c r="N38" s="159"/>
      <c r="O38" s="195"/>
      <c r="P38" s="51"/>
      <c r="Q38" s="51"/>
    </row>
    <row r="39" spans="1:17" s="38" customFormat="1" ht="19" x14ac:dyDescent="0.25">
      <c r="A39" s="71" t="str">
        <f>IF(F39&lt;&gt;"",(LARGE(A$7:A37,1)+1),"")</f>
        <v/>
      </c>
      <c r="B39" s="146"/>
      <c r="C39" s="136"/>
      <c r="D39" s="51"/>
      <c r="E39" s="48"/>
      <c r="F39" s="159"/>
      <c r="G39" s="59"/>
      <c r="H39" s="48"/>
      <c r="I39" s="48"/>
      <c r="J39" s="159"/>
      <c r="K39" s="59"/>
      <c r="L39" s="48"/>
      <c r="M39" s="48"/>
      <c r="N39" s="159"/>
      <c r="O39" s="195"/>
      <c r="P39" s="51"/>
      <c r="Q39" s="51"/>
    </row>
    <row r="40" spans="1:17" s="38" customFormat="1" ht="19" x14ac:dyDescent="0.25">
      <c r="A40" s="71">
        <f>IF(F40&lt;&gt;"",(LARGE(A$7:A38,1)+1),"")</f>
        <v>13</v>
      </c>
      <c r="B40" s="38" t="s">
        <v>160</v>
      </c>
      <c r="C40" s="136">
        <v>12</v>
      </c>
      <c r="D40" s="51" t="s">
        <v>12</v>
      </c>
      <c r="E40" s="48">
        <f t="shared" si="18"/>
        <v>4.3</v>
      </c>
      <c r="F40" s="159">
        <f t="shared" ref="F40:F42" si="58">E40*C40</f>
        <v>51.599999999999994</v>
      </c>
      <c r="G40" s="59">
        <v>1.5</v>
      </c>
      <c r="H40" s="48">
        <v>2.8</v>
      </c>
      <c r="I40" s="48">
        <f>IF(D40=0," ",(G40)*(Details!$C$4+Details!$C$8))</f>
        <v>0.22500000000000003</v>
      </c>
      <c r="J40" s="159">
        <f>IF(D40=0," ",(H40)*(Details!$C$6+Details!$C$8))</f>
        <v>0.42000000000000004</v>
      </c>
      <c r="K40" s="59">
        <f t="shared" ref="K40:K42" si="59">+G40*C40</f>
        <v>18</v>
      </c>
      <c r="L40" s="48">
        <f t="shared" ref="L40:L42" si="60">+H40*C40</f>
        <v>33.599999999999994</v>
      </c>
      <c r="M40" s="48">
        <f t="shared" ref="M40:M42" si="61">IF(D40=0," ",(I40*C40))</f>
        <v>2.7</v>
      </c>
      <c r="N40" s="159">
        <f t="shared" ref="N40:N42" si="62">IF(D40=0," ",(J40*C40))</f>
        <v>5.0400000000000009</v>
      </c>
      <c r="O40" s="195"/>
      <c r="P40" s="51"/>
      <c r="Q40" s="51"/>
    </row>
    <row r="41" spans="1:17" s="38" customFormat="1" ht="19" x14ac:dyDescent="0.25">
      <c r="A41" s="71" t="str">
        <f>IF(F41&lt;&gt;"",(LARGE(A$7:A39,1)+1),"")</f>
        <v/>
      </c>
      <c r="C41" s="136"/>
      <c r="D41" s="51"/>
      <c r="E41" s="48"/>
      <c r="F41" s="159"/>
      <c r="G41" s="59"/>
      <c r="H41" s="48"/>
      <c r="I41" s="48"/>
      <c r="J41" s="159"/>
      <c r="K41" s="59"/>
      <c r="L41" s="48"/>
      <c r="M41" s="48"/>
      <c r="N41" s="159"/>
      <c r="O41" s="195"/>
      <c r="P41" s="51"/>
      <c r="Q41" s="51"/>
    </row>
    <row r="42" spans="1:17" s="38" customFormat="1" ht="19" x14ac:dyDescent="0.25">
      <c r="A42" s="71">
        <f>IF(F42&lt;&gt;"",(LARGE(A$7:A40,1)+1),"")</f>
        <v>14</v>
      </c>
      <c r="B42" s="38" t="s">
        <v>156</v>
      </c>
      <c r="C42" s="136">
        <v>3</v>
      </c>
      <c r="D42" s="51" t="s">
        <v>12</v>
      </c>
      <c r="E42" s="48">
        <f t="shared" si="18"/>
        <v>4.5</v>
      </c>
      <c r="F42" s="159">
        <f t="shared" si="58"/>
        <v>13.5</v>
      </c>
      <c r="G42" s="59">
        <v>1.5</v>
      </c>
      <c r="H42" s="48">
        <v>3</v>
      </c>
      <c r="I42" s="48">
        <f>IF(D42=0," ",(G42)*(Details!$C$4+Details!$C$8))</f>
        <v>0.22500000000000003</v>
      </c>
      <c r="J42" s="159">
        <f>IF(D42=0," ",(H42)*(Details!$C$6+Details!$C$8))</f>
        <v>0.45000000000000007</v>
      </c>
      <c r="K42" s="59">
        <f t="shared" si="59"/>
        <v>4.5</v>
      </c>
      <c r="L42" s="48">
        <f t="shared" si="60"/>
        <v>9</v>
      </c>
      <c r="M42" s="48">
        <f t="shared" si="61"/>
        <v>0.67500000000000004</v>
      </c>
      <c r="N42" s="159">
        <f t="shared" si="62"/>
        <v>1.35</v>
      </c>
      <c r="O42" s="195"/>
      <c r="P42" s="51"/>
      <c r="Q42" s="51"/>
    </row>
    <row r="43" spans="1:17" s="38" customFormat="1" ht="19" x14ac:dyDescent="0.25">
      <c r="A43" s="71" t="str">
        <f>IF(F43&lt;&gt;"",(LARGE(A$7:A41,1)+1),"")</f>
        <v/>
      </c>
      <c r="C43" s="136"/>
      <c r="D43" s="51"/>
      <c r="E43" s="48"/>
      <c r="F43" s="159"/>
      <c r="G43" s="59"/>
      <c r="H43" s="48"/>
      <c r="I43" s="48"/>
      <c r="J43" s="159"/>
      <c r="K43" s="59"/>
      <c r="L43" s="48"/>
      <c r="M43" s="48"/>
      <c r="N43" s="159"/>
      <c r="O43" s="195"/>
      <c r="P43" s="51"/>
      <c r="Q43" s="51"/>
    </row>
    <row r="44" spans="1:17" s="38" customFormat="1" ht="20" x14ac:dyDescent="0.25">
      <c r="A44" s="71" t="str">
        <f>IF(F44&lt;&gt;"",(LARGE(A$7:A42,1)+1),"")</f>
        <v/>
      </c>
      <c r="B44" s="146" t="s">
        <v>157</v>
      </c>
      <c r="C44" s="136"/>
      <c r="D44" s="51"/>
      <c r="E44" s="48"/>
      <c r="F44" s="159"/>
      <c r="G44" s="59"/>
      <c r="H44" s="48"/>
      <c r="I44" s="48"/>
      <c r="J44" s="159"/>
      <c r="K44" s="59"/>
      <c r="L44" s="48"/>
      <c r="M44" s="48"/>
      <c r="N44" s="159"/>
      <c r="O44" s="195"/>
      <c r="P44" s="51"/>
      <c r="Q44" s="51"/>
    </row>
    <row r="45" spans="1:17" s="38" customFormat="1" ht="19" x14ac:dyDescent="0.25">
      <c r="A45" s="71" t="str">
        <f>IF(F45&lt;&gt;"",(LARGE(A$7:A43,1)+1),"")</f>
        <v/>
      </c>
      <c r="B45" s="146"/>
      <c r="C45" s="136"/>
      <c r="D45" s="51"/>
      <c r="E45" s="48"/>
      <c r="F45" s="159"/>
      <c r="G45" s="59"/>
      <c r="H45" s="48"/>
      <c r="I45" s="48"/>
      <c r="J45" s="159"/>
      <c r="K45" s="59"/>
      <c r="L45" s="48"/>
      <c r="M45" s="48"/>
      <c r="N45" s="159"/>
      <c r="O45" s="195"/>
      <c r="P45" s="51"/>
      <c r="Q45" s="51"/>
    </row>
    <row r="46" spans="1:17" s="38" customFormat="1" ht="19" x14ac:dyDescent="0.25">
      <c r="A46" s="71">
        <f>IF(F46&lt;&gt;"",(LARGE(A$7:A44,1)+1),"")</f>
        <v>15</v>
      </c>
      <c r="B46" s="38" t="s">
        <v>161</v>
      </c>
      <c r="C46" s="136">
        <v>1</v>
      </c>
      <c r="D46" s="51" t="s">
        <v>12</v>
      </c>
      <c r="E46" s="48">
        <f t="shared" si="18"/>
        <v>21.5</v>
      </c>
      <c r="F46" s="159">
        <f t="shared" ref="F46" si="63">E46*C46</f>
        <v>21.5</v>
      </c>
      <c r="G46" s="59">
        <v>8</v>
      </c>
      <c r="H46" s="48">
        <v>13.5</v>
      </c>
      <c r="I46" s="48">
        <f>IF(D46=0," ",(G46)*(Details!$C$4+Details!$C$8))</f>
        <v>1.2000000000000002</v>
      </c>
      <c r="J46" s="159">
        <f>IF(D46=0," ",(H46)*(Details!$C$6+Details!$C$8))</f>
        <v>2.0250000000000004</v>
      </c>
      <c r="K46" s="59">
        <f t="shared" ref="K46" si="64">+G46*C46</f>
        <v>8</v>
      </c>
      <c r="L46" s="48">
        <f t="shared" ref="L46" si="65">+H46*C46</f>
        <v>13.5</v>
      </c>
      <c r="M46" s="48">
        <f t="shared" ref="M46" si="66">IF(D46=0," ",(I46*C46))</f>
        <v>1.2000000000000002</v>
      </c>
      <c r="N46" s="159">
        <f t="shared" ref="N46" si="67">IF(D46=0," ",(J46*C46))</f>
        <v>2.0250000000000004</v>
      </c>
      <c r="O46" s="195"/>
      <c r="P46" s="51"/>
      <c r="Q46" s="51"/>
    </row>
    <row r="47" spans="1:17" s="38" customFormat="1" ht="19" x14ac:dyDescent="0.25">
      <c r="A47" s="71" t="str">
        <f>IF(F47&lt;&gt;"",(LARGE(A$7:A45,1)+1),"")</f>
        <v/>
      </c>
      <c r="C47" s="136"/>
      <c r="D47" s="51"/>
      <c r="E47" s="48"/>
      <c r="F47" s="159"/>
      <c r="G47" s="59"/>
      <c r="H47" s="48"/>
      <c r="I47" s="48"/>
      <c r="J47" s="159"/>
      <c r="K47" s="59"/>
      <c r="L47" s="48"/>
      <c r="M47" s="48"/>
      <c r="N47" s="159"/>
      <c r="O47" s="195"/>
      <c r="P47" s="51"/>
      <c r="Q47" s="51"/>
    </row>
    <row r="48" spans="1:17" s="38" customFormat="1" ht="20" x14ac:dyDescent="0.25">
      <c r="A48" s="71" t="str">
        <f>IF(F48&lt;&gt;"",(LARGE(A$7:A46,1)+1),"")</f>
        <v/>
      </c>
      <c r="B48" s="146" t="s">
        <v>141</v>
      </c>
      <c r="C48" s="132"/>
      <c r="D48" s="51"/>
      <c r="E48" s="48"/>
      <c r="F48" s="159"/>
      <c r="G48" s="59"/>
      <c r="H48" s="48"/>
      <c r="I48" s="48"/>
      <c r="J48" s="159"/>
      <c r="K48" s="59"/>
      <c r="L48" s="48"/>
      <c r="M48" s="48"/>
      <c r="N48" s="159" t="str">
        <f t="shared" si="0"/>
        <v xml:space="preserve"> </v>
      </c>
      <c r="O48" s="195"/>
      <c r="P48" s="51"/>
      <c r="Q48" s="51"/>
    </row>
    <row r="49" spans="1:17" s="38" customFormat="1" ht="19" x14ac:dyDescent="0.25">
      <c r="A49" s="71" t="str">
        <f>IF(F49&lt;&gt;"",(LARGE(A$7:A47,1)+1),"")</f>
        <v/>
      </c>
      <c r="B49" s="146"/>
      <c r="C49" s="132"/>
      <c r="D49" s="51"/>
      <c r="E49" s="48"/>
      <c r="F49" s="159"/>
      <c r="G49" s="59"/>
      <c r="H49" s="48"/>
      <c r="I49" s="48"/>
      <c r="J49" s="159"/>
      <c r="K49" s="59"/>
      <c r="L49" s="48"/>
      <c r="M49" s="48"/>
      <c r="N49" s="159"/>
      <c r="O49" s="195"/>
      <c r="P49" s="51"/>
      <c r="Q49" s="51"/>
    </row>
    <row r="50" spans="1:17" s="38" customFormat="1" ht="20" x14ac:dyDescent="0.25">
      <c r="A50" s="71">
        <f>IF(F50&lt;&gt;"",(LARGE(A$7:A48,1)+1),"")</f>
        <v>16</v>
      </c>
      <c r="B50" s="135" t="s">
        <v>152</v>
      </c>
      <c r="C50" s="132">
        <v>1</v>
      </c>
      <c r="D50" s="51" t="s">
        <v>11</v>
      </c>
      <c r="E50" s="48">
        <f t="shared" si="18"/>
        <v>250</v>
      </c>
      <c r="F50" s="159">
        <f t="shared" ref="F50" si="68">E50*C50</f>
        <v>250</v>
      </c>
      <c r="G50" s="59">
        <v>150</v>
      </c>
      <c r="H50" s="48">
        <v>100</v>
      </c>
      <c r="I50" s="48">
        <f>IF(D50=0," ",(G50)*(Details!$C$4+Details!$C$8))</f>
        <v>22.500000000000004</v>
      </c>
      <c r="J50" s="159">
        <f>IF(D50=0," ",(H50)*(Details!$C$6+Details!$C$8))</f>
        <v>15.000000000000002</v>
      </c>
      <c r="K50" s="59">
        <f t="shared" ref="K50" si="69">+G50*C50</f>
        <v>150</v>
      </c>
      <c r="L50" s="48">
        <f t="shared" ref="L50" si="70">+H50*C50</f>
        <v>100</v>
      </c>
      <c r="M50" s="48">
        <f t="shared" ref="M50" si="71">IF(D50=0," ",(I50*C50))</f>
        <v>22.500000000000004</v>
      </c>
      <c r="N50" s="159">
        <f t="shared" ref="N50" si="72">IF(D50=0," ",(J50*C50))</f>
        <v>15.000000000000002</v>
      </c>
      <c r="O50" s="195"/>
      <c r="P50" s="51"/>
      <c r="Q50" s="51"/>
    </row>
    <row r="51" spans="1:17" s="38" customFormat="1" ht="19" x14ac:dyDescent="0.25">
      <c r="A51" s="71" t="str">
        <f>IF(F51&lt;&gt;"",(LARGE(A$7:A49,1)+1),"")</f>
        <v/>
      </c>
      <c r="B51" s="135"/>
      <c r="C51" s="132"/>
      <c r="D51" s="51"/>
      <c r="E51" s="48"/>
      <c r="F51" s="159"/>
      <c r="G51" s="59"/>
      <c r="H51" s="48"/>
      <c r="I51" s="48"/>
      <c r="J51" s="159"/>
      <c r="K51" s="59"/>
      <c r="L51" s="48"/>
      <c r="M51" s="48"/>
      <c r="N51" s="159"/>
      <c r="O51" s="195"/>
      <c r="P51" s="51"/>
      <c r="Q51" s="51"/>
    </row>
    <row r="52" spans="1:17" s="38" customFormat="1" ht="20" x14ac:dyDescent="0.25">
      <c r="A52" s="71">
        <f>IF(F52&lt;&gt;"",(LARGE(A$7:A50,1)+1),"")</f>
        <v>17</v>
      </c>
      <c r="B52" s="135" t="s">
        <v>153</v>
      </c>
      <c r="C52" s="132">
        <v>1</v>
      </c>
      <c r="D52" s="51" t="s">
        <v>12</v>
      </c>
      <c r="E52" s="48">
        <f t="shared" si="18"/>
        <v>5.2</v>
      </c>
      <c r="F52" s="159">
        <f t="shared" ref="F52" si="73">E52*C52</f>
        <v>5.2</v>
      </c>
      <c r="G52" s="59">
        <v>3.2</v>
      </c>
      <c r="H52" s="48">
        <v>2</v>
      </c>
      <c r="I52" s="48">
        <f>IF(D52=0," ",(G52)*(Details!$C$4+Details!$C$8))</f>
        <v>0.48000000000000009</v>
      </c>
      <c r="J52" s="159">
        <f>IF(D52=0," ",(H52)*(Details!$C$6+Details!$C$8))</f>
        <v>0.30000000000000004</v>
      </c>
      <c r="K52" s="59">
        <f t="shared" ref="K52" si="74">+G52*C52</f>
        <v>3.2</v>
      </c>
      <c r="L52" s="48">
        <f t="shared" ref="L52" si="75">+H52*C52</f>
        <v>2</v>
      </c>
      <c r="M52" s="48">
        <f t="shared" ref="M52" si="76">IF(D52=0," ",(I52*C52))</f>
        <v>0.48000000000000009</v>
      </c>
      <c r="N52" s="159">
        <f t="shared" ref="N52" si="77">IF(D52=0," ",(J52*C52))</f>
        <v>0.30000000000000004</v>
      </c>
      <c r="O52" s="195"/>
      <c r="P52" s="51"/>
      <c r="Q52" s="51"/>
    </row>
    <row r="53" spans="1:17" s="38" customFormat="1" ht="19" x14ac:dyDescent="0.25">
      <c r="A53" s="71" t="str">
        <f>IF(F53&lt;&gt;"",(LARGE(A$7:A51,1)+1),"")</f>
        <v/>
      </c>
      <c r="B53" s="134"/>
      <c r="C53" s="132"/>
      <c r="D53" s="51"/>
      <c r="E53" s="48"/>
      <c r="F53" s="159"/>
      <c r="G53" s="59"/>
      <c r="H53" s="48"/>
      <c r="I53" s="48"/>
      <c r="J53" s="159"/>
      <c r="K53" s="59"/>
      <c r="L53" s="48"/>
      <c r="M53" s="48"/>
      <c r="N53" s="159"/>
      <c r="O53" s="195"/>
      <c r="P53" s="51"/>
      <c r="Q53" s="51"/>
    </row>
    <row r="54" spans="1:17" s="38" customFormat="1" ht="20" x14ac:dyDescent="0.25">
      <c r="A54" s="71" t="str">
        <f>IF(F54&lt;&gt;"",(LARGE(A$7:A52,1)+1),"")</f>
        <v/>
      </c>
      <c r="B54" s="146" t="s">
        <v>163</v>
      </c>
      <c r="C54" s="136"/>
      <c r="D54" s="51"/>
      <c r="E54" s="48"/>
      <c r="F54" s="159"/>
      <c r="G54" s="59"/>
      <c r="H54" s="48"/>
      <c r="I54" s="48"/>
      <c r="J54" s="159"/>
      <c r="K54" s="59"/>
      <c r="L54" s="48"/>
      <c r="M54" s="48"/>
      <c r="N54" s="159"/>
      <c r="O54" s="195"/>
      <c r="P54" s="51"/>
      <c r="Q54" s="51"/>
    </row>
    <row r="55" spans="1:17" s="38" customFormat="1" ht="19" x14ac:dyDescent="0.25">
      <c r="A55" s="71" t="str">
        <f>IF(F55&lt;&gt;"",(LARGE(A$7:A53,1)+1),"")</f>
        <v/>
      </c>
      <c r="B55" s="146"/>
      <c r="C55" s="136"/>
      <c r="D55" s="51"/>
      <c r="E55" s="48"/>
      <c r="F55" s="159"/>
      <c r="G55" s="59"/>
      <c r="H55" s="48"/>
      <c r="I55" s="48"/>
      <c r="J55" s="159"/>
      <c r="K55" s="59"/>
      <c r="L55" s="48"/>
      <c r="M55" s="48"/>
      <c r="N55" s="159"/>
      <c r="O55" s="195"/>
      <c r="P55" s="51"/>
      <c r="Q55" s="51"/>
    </row>
    <row r="56" spans="1:17" s="38" customFormat="1" ht="20" x14ac:dyDescent="0.25">
      <c r="A56" s="71">
        <f>IF(F56&lt;&gt;"",(LARGE(A$7:A54,1)+1),"")</f>
        <v>18</v>
      </c>
      <c r="B56" s="135" t="s">
        <v>162</v>
      </c>
      <c r="C56" s="136">
        <v>1</v>
      </c>
      <c r="D56" s="51" t="s">
        <v>11</v>
      </c>
      <c r="E56" s="48">
        <f t="shared" si="18"/>
        <v>160</v>
      </c>
      <c r="F56" s="159">
        <f t="shared" ref="F56" si="78">E56*C56</f>
        <v>160</v>
      </c>
      <c r="G56" s="59">
        <v>65</v>
      </c>
      <c r="H56" s="48">
        <v>95</v>
      </c>
      <c r="I56" s="48">
        <f>IF(D56=0," ",(G56)*(Details!$C$4+Details!$C$8))</f>
        <v>9.7500000000000018</v>
      </c>
      <c r="J56" s="159">
        <f>IF(D56=0," ",(H56)*(Details!$C$6+Details!$C$8))</f>
        <v>14.250000000000002</v>
      </c>
      <c r="K56" s="59">
        <f t="shared" ref="K56" si="79">+G56*C56</f>
        <v>65</v>
      </c>
      <c r="L56" s="48">
        <f t="shared" ref="L56" si="80">+H56*C56</f>
        <v>95</v>
      </c>
      <c r="M56" s="48">
        <f t="shared" ref="M56" si="81">IF(D56=0," ",(I56*C56))</f>
        <v>9.7500000000000018</v>
      </c>
      <c r="N56" s="159">
        <f t="shared" ref="N56" si="82">IF(D56=0," ",(J56*C56))</f>
        <v>14.250000000000002</v>
      </c>
      <c r="O56" s="195"/>
      <c r="P56" s="51"/>
      <c r="Q56" s="51"/>
    </row>
    <row r="57" spans="1:17" s="38" customFormat="1" ht="19" x14ac:dyDescent="0.25">
      <c r="A57" s="71" t="str">
        <f>IF(F57&lt;&gt;"",(LARGE(A$7:A55,1)+1),"")</f>
        <v/>
      </c>
      <c r="B57" s="135"/>
      <c r="C57" s="132"/>
      <c r="D57" s="51"/>
      <c r="E57" s="48"/>
      <c r="F57" s="159"/>
      <c r="G57" s="48"/>
      <c r="H57" s="48"/>
      <c r="I57" s="48"/>
      <c r="J57" s="159"/>
      <c r="K57" s="59"/>
      <c r="L57" s="48"/>
      <c r="M57" s="48"/>
      <c r="N57" s="159"/>
      <c r="O57" s="195"/>
      <c r="P57" s="51"/>
      <c r="Q57" s="51"/>
    </row>
    <row r="58" spans="1:17" s="38" customFormat="1" ht="20" x14ac:dyDescent="0.25">
      <c r="A58" s="71" t="str">
        <f>IF(F58&lt;&gt;"",(LARGE(A$7:A56,1)+1),"")</f>
        <v/>
      </c>
      <c r="B58" s="146" t="s">
        <v>164</v>
      </c>
      <c r="C58" s="132"/>
      <c r="D58" s="51"/>
      <c r="E58" s="48"/>
      <c r="F58" s="159"/>
      <c r="G58" s="48"/>
      <c r="H58" s="48"/>
      <c r="I58" s="48"/>
      <c r="J58" s="159"/>
      <c r="K58" s="48"/>
      <c r="L58" s="48"/>
      <c r="M58" s="48"/>
      <c r="N58" s="159"/>
      <c r="O58" s="195"/>
      <c r="P58" s="51"/>
      <c r="Q58" s="51"/>
    </row>
    <row r="59" spans="1:17" s="38" customFormat="1" ht="19" x14ac:dyDescent="0.25">
      <c r="A59" s="71" t="str">
        <f>IF(F59&lt;&gt;"",(LARGE(A$7:A57,1)+1),"")</f>
        <v/>
      </c>
      <c r="B59" s="135"/>
      <c r="C59" s="132"/>
      <c r="D59" s="51"/>
      <c r="E59" s="48"/>
      <c r="F59" s="159"/>
      <c r="G59" s="48"/>
      <c r="H59" s="48"/>
      <c r="I59" s="48"/>
      <c r="J59" s="159"/>
      <c r="K59" s="48"/>
      <c r="L59" s="48"/>
      <c r="M59" s="48"/>
      <c r="N59" s="159"/>
      <c r="O59" s="195"/>
      <c r="P59" s="51"/>
      <c r="Q59" s="51"/>
    </row>
    <row r="60" spans="1:17" s="38" customFormat="1" ht="20" x14ac:dyDescent="0.25">
      <c r="A60" s="71">
        <f>IF(F60&lt;&gt;"",(LARGE(A$7:A58,1)+1),"")</f>
        <v>19</v>
      </c>
      <c r="B60" s="135" t="s">
        <v>165</v>
      </c>
      <c r="C60" s="132">
        <v>1</v>
      </c>
      <c r="D60" s="51" t="s">
        <v>12</v>
      </c>
      <c r="E60" s="48">
        <f t="shared" ref="E60" si="83">G60+H60</f>
        <v>900</v>
      </c>
      <c r="F60" s="159">
        <f t="shared" ref="F60" si="84">E60*C60</f>
        <v>900</v>
      </c>
      <c r="G60" s="59">
        <v>220</v>
      </c>
      <c r="H60" s="48">
        <v>680</v>
      </c>
      <c r="I60" s="48">
        <f>IF(D60=0," ",(G60)*(Details!$C$4+Details!$C$8))</f>
        <v>33.000000000000007</v>
      </c>
      <c r="J60" s="159">
        <f>IF(D60=0," ",(H60)*(Details!$C$6+Details!$C$8))</f>
        <v>102.00000000000001</v>
      </c>
      <c r="K60" s="59">
        <f t="shared" ref="K60" si="85">+G60*C60</f>
        <v>220</v>
      </c>
      <c r="L60" s="48">
        <f t="shared" ref="L60" si="86">+H60*C60</f>
        <v>680</v>
      </c>
      <c r="M60" s="48">
        <f t="shared" ref="M60" si="87">IF(D60=0," ",(I60*C60))</f>
        <v>33.000000000000007</v>
      </c>
      <c r="N60" s="159">
        <f t="shared" ref="N60" si="88">IF(D60=0," ",(J60*C60))</f>
        <v>102.00000000000001</v>
      </c>
      <c r="O60" s="195"/>
      <c r="P60" s="51"/>
      <c r="Q60" s="51"/>
    </row>
    <row r="61" spans="1:17" s="38" customFormat="1" ht="19" x14ac:dyDescent="0.25">
      <c r="A61" s="71" t="str">
        <f>IF(F61&lt;&gt;"",(LARGE(A$7:A59,1)+1),"")</f>
        <v/>
      </c>
      <c r="B61" s="135"/>
      <c r="C61" s="132"/>
      <c r="D61" s="51"/>
      <c r="E61" s="48"/>
      <c r="F61" s="159"/>
      <c r="G61" s="48"/>
      <c r="H61" s="48"/>
      <c r="I61" s="48"/>
      <c r="J61" s="159"/>
      <c r="K61" s="48"/>
      <c r="L61" s="48"/>
      <c r="M61" s="48"/>
      <c r="N61" s="159"/>
      <c r="O61" s="195"/>
      <c r="P61" s="51"/>
      <c r="Q61" s="51"/>
    </row>
    <row r="62" spans="1:17" s="38" customFormat="1" ht="20" x14ac:dyDescent="0.25">
      <c r="A62" s="71">
        <f>IF(F62&lt;&gt;"",(LARGE(A$7:A60,1)+1),"")</f>
        <v>20</v>
      </c>
      <c r="B62" s="135" t="s">
        <v>166</v>
      </c>
      <c r="C62" s="132">
        <v>2</v>
      </c>
      <c r="D62" s="51" t="s">
        <v>12</v>
      </c>
      <c r="E62" s="48">
        <f t="shared" ref="E62" si="89">G62+H62</f>
        <v>900</v>
      </c>
      <c r="F62" s="159">
        <f t="shared" ref="F62" si="90">E62*C62</f>
        <v>1800</v>
      </c>
      <c r="G62" s="59">
        <v>220</v>
      </c>
      <c r="H62" s="48">
        <v>680</v>
      </c>
      <c r="I62" s="48">
        <f>IF(D62=0," ",(G62)*(Details!$C$4+Details!$C$8))</f>
        <v>33.000000000000007</v>
      </c>
      <c r="J62" s="159">
        <f>IF(D62=0," ",(H62)*(Details!$C$6+Details!$C$8))</f>
        <v>102.00000000000001</v>
      </c>
      <c r="K62" s="59">
        <f t="shared" ref="K62" si="91">+G62*C62</f>
        <v>440</v>
      </c>
      <c r="L62" s="48">
        <f t="shared" ref="L62" si="92">+H62*C62</f>
        <v>1360</v>
      </c>
      <c r="M62" s="48">
        <f t="shared" ref="M62" si="93">IF(D62=0," ",(I62*C62))</f>
        <v>66.000000000000014</v>
      </c>
      <c r="N62" s="159">
        <f t="shared" ref="N62" si="94">IF(D62=0," ",(J62*C62))</f>
        <v>204.00000000000003</v>
      </c>
      <c r="O62" s="195"/>
      <c r="P62" s="51"/>
      <c r="Q62" s="51"/>
    </row>
    <row r="63" spans="1:17" s="38" customFormat="1" ht="19" x14ac:dyDescent="0.25">
      <c r="A63" s="71" t="str">
        <f>IF(F63&lt;&gt;"",(LARGE(A$7:A61,1)+1),"")</f>
        <v/>
      </c>
      <c r="B63" s="135"/>
      <c r="C63" s="132"/>
      <c r="D63" s="51"/>
      <c r="E63" s="48"/>
      <c r="F63" s="159"/>
      <c r="G63" s="48"/>
      <c r="H63" s="48"/>
      <c r="I63" s="48"/>
      <c r="J63" s="159"/>
      <c r="K63" s="48"/>
      <c r="L63" s="48"/>
      <c r="M63" s="48"/>
      <c r="N63" s="159"/>
      <c r="O63" s="195"/>
      <c r="P63" s="51"/>
      <c r="Q63" s="51"/>
    </row>
    <row r="64" spans="1:17" s="38" customFormat="1" ht="20" x14ac:dyDescent="0.25">
      <c r="A64" s="71">
        <f>IF(F64&lt;&gt;"",(LARGE(A$7:A62,1)+1),"")</f>
        <v>21</v>
      </c>
      <c r="B64" s="135" t="s">
        <v>167</v>
      </c>
      <c r="C64" s="132">
        <v>1</v>
      </c>
      <c r="D64" s="51" t="s">
        <v>12</v>
      </c>
      <c r="E64" s="48">
        <f t="shared" ref="E64" si="95">G64+H64</f>
        <v>900</v>
      </c>
      <c r="F64" s="159">
        <f t="shared" ref="F64" si="96">E64*C64</f>
        <v>900</v>
      </c>
      <c r="G64" s="59">
        <v>220</v>
      </c>
      <c r="H64" s="48">
        <v>680</v>
      </c>
      <c r="I64" s="48">
        <f>IF(D64=0," ",(G64)*(Details!$C$4+Details!$C$8))</f>
        <v>33.000000000000007</v>
      </c>
      <c r="J64" s="159">
        <f>IF(D64=0," ",(H64)*(Details!$C$6+Details!$C$8))</f>
        <v>102.00000000000001</v>
      </c>
      <c r="K64" s="59">
        <f t="shared" ref="K64" si="97">+G64*C64</f>
        <v>220</v>
      </c>
      <c r="L64" s="48">
        <f t="shared" ref="L64" si="98">+H64*C64</f>
        <v>680</v>
      </c>
      <c r="M64" s="48">
        <f t="shared" ref="M64" si="99">IF(D64=0," ",(I64*C64))</f>
        <v>33.000000000000007</v>
      </c>
      <c r="N64" s="159">
        <f t="shared" ref="N64" si="100">IF(D64=0," ",(J64*C64))</f>
        <v>102.00000000000001</v>
      </c>
      <c r="O64" s="195"/>
      <c r="P64" s="51"/>
      <c r="Q64" s="51"/>
    </row>
    <row r="65" spans="1:17" s="38" customFormat="1" ht="19" x14ac:dyDescent="0.25">
      <c r="A65" s="71" t="str">
        <f>IF(F65&lt;&gt;"",(LARGE(A$7:A63,1)+1),"")</f>
        <v/>
      </c>
      <c r="B65" s="135"/>
      <c r="C65" s="132"/>
      <c r="D65" s="51"/>
      <c r="E65" s="48"/>
      <c r="F65" s="159"/>
      <c r="G65" s="48"/>
      <c r="H65" s="48"/>
      <c r="I65" s="48"/>
      <c r="J65" s="159"/>
      <c r="K65" s="48"/>
      <c r="L65" s="48"/>
      <c r="M65" s="48"/>
      <c r="N65" s="159"/>
      <c r="O65" s="195"/>
      <c r="P65" s="51"/>
      <c r="Q65" s="51"/>
    </row>
    <row r="66" spans="1:17" s="38" customFormat="1" ht="20" x14ac:dyDescent="0.25">
      <c r="A66" s="71">
        <f>IF(F66&lt;&gt;"",(LARGE(A$7:A64,1)+1),"")</f>
        <v>22</v>
      </c>
      <c r="B66" s="135" t="s">
        <v>168</v>
      </c>
      <c r="C66" s="132">
        <v>1</v>
      </c>
      <c r="D66" s="51" t="s">
        <v>12</v>
      </c>
      <c r="E66" s="48">
        <f t="shared" ref="E66" si="101">G66+H66</f>
        <v>900</v>
      </c>
      <c r="F66" s="159">
        <f t="shared" ref="F66" si="102">E66*C66</f>
        <v>900</v>
      </c>
      <c r="G66" s="59">
        <v>220</v>
      </c>
      <c r="H66" s="48">
        <v>680</v>
      </c>
      <c r="I66" s="48">
        <f>IF(D66=0," ",(G66)*(Details!$C$4+Details!$C$8))</f>
        <v>33.000000000000007</v>
      </c>
      <c r="J66" s="159">
        <f>IF(D66=0," ",(H66)*(Details!$C$6+Details!$C$8))</f>
        <v>102.00000000000001</v>
      </c>
      <c r="K66" s="59">
        <f t="shared" ref="K66" si="103">+G66*C66</f>
        <v>220</v>
      </c>
      <c r="L66" s="48">
        <f t="shared" ref="L66" si="104">+H66*C66</f>
        <v>680</v>
      </c>
      <c r="M66" s="48">
        <f t="shared" ref="M66" si="105">IF(D66=0," ",(I66*C66))</f>
        <v>33.000000000000007</v>
      </c>
      <c r="N66" s="159">
        <f t="shared" ref="N66" si="106">IF(D66=0," ",(J66*C66))</f>
        <v>102.00000000000001</v>
      </c>
      <c r="O66" s="195"/>
      <c r="P66" s="51"/>
      <c r="Q66" s="51"/>
    </row>
    <row r="67" spans="1:17" s="38" customFormat="1" ht="19" x14ac:dyDescent="0.25">
      <c r="A67" s="71" t="str">
        <f>IF(F67&lt;&gt;"",(LARGE(A$7:A65,1)+1),"")</f>
        <v/>
      </c>
      <c r="B67" s="135"/>
      <c r="C67" s="132"/>
      <c r="D67" s="51"/>
      <c r="E67" s="48"/>
      <c r="F67" s="159"/>
      <c r="G67" s="48"/>
      <c r="H67" s="48"/>
      <c r="I67" s="48"/>
      <c r="J67" s="159"/>
      <c r="K67" s="48"/>
      <c r="L67" s="48"/>
      <c r="M67" s="48"/>
      <c r="N67" s="159"/>
      <c r="O67" s="195"/>
      <c r="P67" s="51"/>
      <c r="Q67" s="51"/>
    </row>
    <row r="68" spans="1:17" s="38" customFormat="1" ht="20" x14ac:dyDescent="0.25">
      <c r="A68" s="71">
        <f>IF(F68&lt;&gt;"",(LARGE(A$7:A66,1)+1),"")</f>
        <v>23</v>
      </c>
      <c r="B68" s="135" t="s">
        <v>169</v>
      </c>
      <c r="C68" s="132">
        <v>1</v>
      </c>
      <c r="D68" s="51" t="s">
        <v>12</v>
      </c>
      <c r="E68" s="48">
        <f t="shared" ref="E68" si="107">G68+H68</f>
        <v>900</v>
      </c>
      <c r="F68" s="159">
        <f t="shared" ref="F68" si="108">E68*C68</f>
        <v>900</v>
      </c>
      <c r="G68" s="59">
        <v>220</v>
      </c>
      <c r="H68" s="48">
        <v>680</v>
      </c>
      <c r="I68" s="48">
        <f>IF(D68=0," ",(G68)*(Details!$C$4+Details!$C$8))</f>
        <v>33.000000000000007</v>
      </c>
      <c r="J68" s="159">
        <f>IF(D68=0," ",(H68)*(Details!$C$6+Details!$C$8))</f>
        <v>102.00000000000001</v>
      </c>
      <c r="K68" s="59">
        <f t="shared" ref="K68" si="109">+G68*C68</f>
        <v>220</v>
      </c>
      <c r="L68" s="48">
        <f t="shared" ref="L68" si="110">+H68*C68</f>
        <v>680</v>
      </c>
      <c r="M68" s="48">
        <f t="shared" ref="M68" si="111">IF(D68=0," ",(I68*C68))</f>
        <v>33.000000000000007</v>
      </c>
      <c r="N68" s="159">
        <f t="shared" ref="N68" si="112">IF(D68=0," ",(J68*C68))</f>
        <v>102.00000000000001</v>
      </c>
      <c r="O68" s="195"/>
      <c r="P68" s="51"/>
      <c r="Q68" s="51"/>
    </row>
    <row r="69" spans="1:17" s="38" customFormat="1" ht="19" x14ac:dyDescent="0.25">
      <c r="A69" s="71" t="str">
        <f>IF(F69&lt;&gt;"",(LARGE(A$7:A67,1)+1),"")</f>
        <v/>
      </c>
      <c r="B69" s="135"/>
      <c r="C69" s="132"/>
      <c r="D69" s="51"/>
      <c r="E69" s="48"/>
      <c r="F69" s="159"/>
      <c r="G69" s="48"/>
      <c r="H69" s="48"/>
      <c r="I69" s="48"/>
      <c r="J69" s="159"/>
      <c r="K69" s="48"/>
      <c r="L69" s="48"/>
      <c r="M69" s="48"/>
      <c r="N69" s="159"/>
      <c r="O69" s="195"/>
      <c r="P69" s="51"/>
      <c r="Q69" s="51"/>
    </row>
    <row r="70" spans="1:17" s="38" customFormat="1" ht="20" x14ac:dyDescent="0.25">
      <c r="A70" s="71">
        <f>IF(F70&lt;&gt;"",(LARGE(A$7:A68,1)+1),"")</f>
        <v>24</v>
      </c>
      <c r="B70" s="135" t="s">
        <v>170</v>
      </c>
      <c r="C70" s="132">
        <v>1</v>
      </c>
      <c r="D70" s="51" t="s">
        <v>12</v>
      </c>
      <c r="E70" s="48">
        <f t="shared" ref="E70" si="113">G70+H70</f>
        <v>900</v>
      </c>
      <c r="F70" s="159">
        <f t="shared" ref="F70" si="114">E70*C70</f>
        <v>900</v>
      </c>
      <c r="G70" s="59">
        <v>220</v>
      </c>
      <c r="H70" s="48">
        <v>680</v>
      </c>
      <c r="I70" s="48">
        <f>IF(D70=0," ",(G70)*(Details!$C$4+Details!$C$8))</f>
        <v>33.000000000000007</v>
      </c>
      <c r="J70" s="159">
        <f>IF(D70=0," ",(H70)*(Details!$C$6+Details!$C$8))</f>
        <v>102.00000000000001</v>
      </c>
      <c r="K70" s="59">
        <f t="shared" ref="K70" si="115">+G70*C70</f>
        <v>220</v>
      </c>
      <c r="L70" s="48">
        <f t="shared" ref="L70" si="116">+H70*C70</f>
        <v>680</v>
      </c>
      <c r="M70" s="48">
        <f t="shared" ref="M70" si="117">IF(D70=0," ",(I70*C70))</f>
        <v>33.000000000000007</v>
      </c>
      <c r="N70" s="159">
        <f t="shared" ref="N70" si="118">IF(D70=0," ",(J70*C70))</f>
        <v>102.00000000000001</v>
      </c>
      <c r="O70" s="195"/>
      <c r="P70" s="51"/>
      <c r="Q70" s="51"/>
    </row>
    <row r="71" spans="1:17" s="38" customFormat="1" ht="19" x14ac:dyDescent="0.25">
      <c r="A71" s="71" t="str">
        <f>IF(F71&lt;&gt;"",(LARGE(A$7:A69,1)+1),"")</f>
        <v/>
      </c>
      <c r="B71" s="135"/>
      <c r="C71" s="132"/>
      <c r="D71" s="51"/>
      <c r="E71" s="48"/>
      <c r="F71" s="159"/>
      <c r="G71" s="48"/>
      <c r="H71" s="48"/>
      <c r="I71" s="48"/>
      <c r="J71" s="159"/>
      <c r="K71" s="48"/>
      <c r="L71" s="48"/>
      <c r="M71" s="48"/>
      <c r="N71" s="159"/>
      <c r="O71" s="195"/>
      <c r="P71" s="51"/>
      <c r="Q71" s="51"/>
    </row>
    <row r="72" spans="1:17" s="38" customFormat="1" ht="20" x14ac:dyDescent="0.25">
      <c r="A72" s="71">
        <f>IF(F72&lt;&gt;"",(LARGE(A$7:A70,1)+1),"")</f>
        <v>25</v>
      </c>
      <c r="B72" s="135" t="s">
        <v>171</v>
      </c>
      <c r="C72" s="132">
        <v>1</v>
      </c>
      <c r="D72" s="51" t="s">
        <v>12</v>
      </c>
      <c r="E72" s="48">
        <f t="shared" ref="E72" si="119">G72+H72</f>
        <v>1130</v>
      </c>
      <c r="F72" s="159">
        <f t="shared" ref="F72" si="120">E72*C72</f>
        <v>1130</v>
      </c>
      <c r="G72" s="59">
        <v>310</v>
      </c>
      <c r="H72" s="48">
        <v>820</v>
      </c>
      <c r="I72" s="48">
        <f>IF(D72=0," ",(G72)*(Details!$C$4+Details!$C$8))</f>
        <v>46.500000000000007</v>
      </c>
      <c r="J72" s="159">
        <f>IF(D72=0," ",(H72)*(Details!$C$6+Details!$C$8))</f>
        <v>123.00000000000001</v>
      </c>
      <c r="K72" s="59">
        <f t="shared" ref="K72" si="121">+G72*C72</f>
        <v>310</v>
      </c>
      <c r="L72" s="48">
        <f t="shared" ref="L72" si="122">+H72*C72</f>
        <v>820</v>
      </c>
      <c r="M72" s="48">
        <f t="shared" ref="M72" si="123">IF(D72=0," ",(I72*C72))</f>
        <v>46.500000000000007</v>
      </c>
      <c r="N72" s="159">
        <f t="shared" ref="N72" si="124">IF(D72=0," ",(J72*C72))</f>
        <v>123.00000000000001</v>
      </c>
      <c r="O72" s="195"/>
      <c r="P72" s="51"/>
      <c r="Q72" s="51"/>
    </row>
    <row r="73" spans="1:17" s="38" customFormat="1" ht="19" x14ac:dyDescent="0.25">
      <c r="A73" s="71" t="str">
        <f>IF(F73&lt;&gt;"",(LARGE(A$7:A71,1)+1),"")</f>
        <v/>
      </c>
      <c r="B73" s="135"/>
      <c r="C73" s="132"/>
      <c r="D73" s="51"/>
      <c r="E73" s="48"/>
      <c r="F73" s="159"/>
      <c r="G73" s="48"/>
      <c r="H73" s="48"/>
      <c r="I73" s="48"/>
      <c r="J73" s="159"/>
      <c r="K73" s="48"/>
      <c r="L73" s="48"/>
      <c r="M73" s="48"/>
      <c r="N73" s="159"/>
      <c r="O73" s="195"/>
      <c r="P73" s="51"/>
      <c r="Q73" s="51"/>
    </row>
    <row r="74" spans="1:17" s="38" customFormat="1" ht="20" x14ac:dyDescent="0.25">
      <c r="A74" s="71">
        <f>IF(F74&lt;&gt;"",(LARGE(A$7:A72,1)+1),"")</f>
        <v>26</v>
      </c>
      <c r="B74" s="135" t="s">
        <v>172</v>
      </c>
      <c r="C74" s="132">
        <v>1</v>
      </c>
      <c r="D74" s="51" t="s">
        <v>12</v>
      </c>
      <c r="E74" s="48">
        <f t="shared" ref="E74" si="125">G74+H74</f>
        <v>900</v>
      </c>
      <c r="F74" s="159">
        <f t="shared" ref="F74" si="126">E74*C74</f>
        <v>900</v>
      </c>
      <c r="G74" s="59">
        <v>220</v>
      </c>
      <c r="H74" s="48">
        <v>680</v>
      </c>
      <c r="I74" s="48">
        <f>IF(D74=0," ",(G74)*(Details!$C$4+Details!$C$8))</f>
        <v>33.000000000000007</v>
      </c>
      <c r="J74" s="159">
        <f>IF(D74=0," ",(H74)*(Details!$C$6+Details!$C$8))</f>
        <v>102.00000000000001</v>
      </c>
      <c r="K74" s="59">
        <f t="shared" ref="K74" si="127">+G74*C74</f>
        <v>220</v>
      </c>
      <c r="L74" s="48">
        <f t="shared" ref="L74" si="128">+H74*C74</f>
        <v>680</v>
      </c>
      <c r="M74" s="48">
        <f t="shared" ref="M74" si="129">IF(D74=0," ",(I74*C74))</f>
        <v>33.000000000000007</v>
      </c>
      <c r="N74" s="159">
        <f t="shared" ref="N74" si="130">IF(D74=0," ",(J74*C74))</f>
        <v>102.00000000000001</v>
      </c>
      <c r="O74" s="195"/>
      <c r="P74" s="51"/>
      <c r="Q74" s="51"/>
    </row>
    <row r="75" spans="1:17" s="38" customFormat="1" ht="19" x14ac:dyDescent="0.25">
      <c r="A75" s="71" t="str">
        <f>IF(F75&lt;&gt;"",(LARGE(A$7:A73,1)+1),"")</f>
        <v/>
      </c>
      <c r="B75" s="135"/>
      <c r="C75" s="132"/>
      <c r="D75" s="51"/>
      <c r="E75" s="48"/>
      <c r="F75" s="159"/>
      <c r="G75" s="48"/>
      <c r="H75" s="48"/>
      <c r="I75" s="48"/>
      <c r="J75" s="159"/>
      <c r="K75" s="48"/>
      <c r="L75" s="48"/>
      <c r="M75" s="48"/>
      <c r="N75" s="159"/>
      <c r="O75" s="195"/>
      <c r="P75" s="51"/>
      <c r="Q75" s="51"/>
    </row>
    <row r="76" spans="1:17" s="38" customFormat="1" ht="20" x14ac:dyDescent="0.25">
      <c r="A76" s="71">
        <f>IF(F76&lt;&gt;"",(LARGE(A$7:A74,1)+1),"")</f>
        <v>27</v>
      </c>
      <c r="B76" s="135" t="s">
        <v>173</v>
      </c>
      <c r="C76" s="132">
        <v>1</v>
      </c>
      <c r="D76" s="51" t="s">
        <v>12</v>
      </c>
      <c r="E76" s="48">
        <f t="shared" ref="E76" si="131">G76+H76</f>
        <v>900</v>
      </c>
      <c r="F76" s="159">
        <f t="shared" ref="F76" si="132">E76*C76</f>
        <v>900</v>
      </c>
      <c r="G76" s="59">
        <v>220</v>
      </c>
      <c r="H76" s="48">
        <v>680</v>
      </c>
      <c r="I76" s="48">
        <f>IF(D76=0," ",(G76)*(Details!$C$4+Details!$C$8))</f>
        <v>33.000000000000007</v>
      </c>
      <c r="J76" s="159">
        <f>IF(D76=0," ",(H76)*(Details!$C$6+Details!$C$8))</f>
        <v>102.00000000000001</v>
      </c>
      <c r="K76" s="59">
        <f t="shared" ref="K76" si="133">+G76*C76</f>
        <v>220</v>
      </c>
      <c r="L76" s="48">
        <f t="shared" ref="L76" si="134">+H76*C76</f>
        <v>680</v>
      </c>
      <c r="M76" s="48">
        <f t="shared" ref="M76" si="135">IF(D76=0," ",(I76*C76))</f>
        <v>33.000000000000007</v>
      </c>
      <c r="N76" s="159">
        <f t="shared" ref="N76" si="136">IF(D76=0," ",(J76*C76))</f>
        <v>102.00000000000001</v>
      </c>
      <c r="O76" s="195"/>
      <c r="P76" s="51"/>
      <c r="Q76" s="51"/>
    </row>
    <row r="77" spans="1:17" s="38" customFormat="1" ht="19" x14ac:dyDescent="0.25">
      <c r="A77" s="71" t="str">
        <f>IF(F77&lt;&gt;"",(LARGE(A$7:A75,1)+1),"")</f>
        <v/>
      </c>
      <c r="B77" s="135"/>
      <c r="C77" s="132"/>
      <c r="D77" s="51"/>
      <c r="E77" s="48"/>
      <c r="F77" s="159"/>
      <c r="G77" s="48"/>
      <c r="H77" s="48"/>
      <c r="I77" s="48"/>
      <c r="J77" s="159"/>
      <c r="K77" s="48"/>
      <c r="L77" s="48"/>
      <c r="M77" s="48"/>
      <c r="N77" s="159"/>
      <c r="O77" s="195"/>
      <c r="P77" s="51"/>
      <c r="Q77" s="51"/>
    </row>
    <row r="78" spans="1:17" s="38" customFormat="1" ht="20" x14ac:dyDescent="0.25">
      <c r="A78" s="71">
        <f>IF(F78&lt;&gt;"",(LARGE(A$7:A76,1)+1),"")</f>
        <v>28</v>
      </c>
      <c r="B78" s="135" t="s">
        <v>174</v>
      </c>
      <c r="C78" s="132">
        <v>1</v>
      </c>
      <c r="D78" s="51" t="s">
        <v>12</v>
      </c>
      <c r="E78" s="48">
        <f t="shared" ref="E78" si="137">G78+H78</f>
        <v>900</v>
      </c>
      <c r="F78" s="159">
        <f t="shared" ref="F78" si="138">E78*C78</f>
        <v>900</v>
      </c>
      <c r="G78" s="59">
        <v>220</v>
      </c>
      <c r="H78" s="48">
        <v>680</v>
      </c>
      <c r="I78" s="48">
        <f>IF(D78=0," ",(G78)*(Details!$C$4+Details!$C$8))</f>
        <v>33.000000000000007</v>
      </c>
      <c r="J78" s="159">
        <f>IF(D78=0," ",(H78)*(Details!$C$6+Details!$C$8))</f>
        <v>102.00000000000001</v>
      </c>
      <c r="K78" s="59">
        <f t="shared" ref="K78" si="139">+G78*C78</f>
        <v>220</v>
      </c>
      <c r="L78" s="48">
        <f t="shared" ref="L78" si="140">+H78*C78</f>
        <v>680</v>
      </c>
      <c r="M78" s="48">
        <f t="shared" ref="M78" si="141">IF(D78=0," ",(I78*C78))</f>
        <v>33.000000000000007</v>
      </c>
      <c r="N78" s="159">
        <f t="shared" ref="N78" si="142">IF(D78=0," ",(J78*C78))</f>
        <v>102.00000000000001</v>
      </c>
      <c r="O78" s="195"/>
      <c r="P78" s="51"/>
      <c r="Q78" s="51"/>
    </row>
    <row r="79" spans="1:17" s="38" customFormat="1" ht="19" x14ac:dyDescent="0.25">
      <c r="A79" s="71" t="str">
        <f>IF(F79&lt;&gt;"",(LARGE(A$7:A77,1)+1),"")</f>
        <v/>
      </c>
      <c r="B79" s="135"/>
      <c r="C79" s="132"/>
      <c r="D79" s="51"/>
      <c r="E79" s="48"/>
      <c r="F79" s="159"/>
      <c r="G79" s="48"/>
      <c r="H79" s="48"/>
      <c r="I79" s="48"/>
      <c r="J79" s="159"/>
      <c r="K79" s="48"/>
      <c r="L79" s="48"/>
      <c r="M79" s="48"/>
      <c r="N79" s="159"/>
      <c r="O79" s="195"/>
      <c r="P79" s="51"/>
      <c r="Q79" s="51"/>
    </row>
    <row r="80" spans="1:17" s="38" customFormat="1" ht="20" x14ac:dyDescent="0.25">
      <c r="A80" s="71">
        <f>IF(F80&lt;&gt;"",(LARGE(A$7:A78,1)+1),"")</f>
        <v>29</v>
      </c>
      <c r="B80" s="135" t="s">
        <v>175</v>
      </c>
      <c r="C80" s="132">
        <v>1</v>
      </c>
      <c r="D80" s="51" t="s">
        <v>12</v>
      </c>
      <c r="E80" s="48">
        <f t="shared" ref="E80" si="143">G80+H80</f>
        <v>900</v>
      </c>
      <c r="F80" s="159">
        <f t="shared" ref="F80" si="144">E80*C80</f>
        <v>900</v>
      </c>
      <c r="G80" s="59">
        <v>220</v>
      </c>
      <c r="H80" s="48">
        <v>680</v>
      </c>
      <c r="I80" s="48">
        <f>IF(D80=0," ",(G80)*(Details!$C$4+Details!$C$8))</f>
        <v>33.000000000000007</v>
      </c>
      <c r="J80" s="159">
        <f>IF(D80=0," ",(H80)*(Details!$C$6+Details!$C$8))</f>
        <v>102.00000000000001</v>
      </c>
      <c r="K80" s="59">
        <f t="shared" ref="K80" si="145">+G80*C80</f>
        <v>220</v>
      </c>
      <c r="L80" s="48">
        <f t="shared" ref="L80" si="146">+H80*C80</f>
        <v>680</v>
      </c>
      <c r="M80" s="48">
        <f t="shared" ref="M80" si="147">IF(D80=0," ",(I80*C80))</f>
        <v>33.000000000000007</v>
      </c>
      <c r="N80" s="159">
        <f t="shared" ref="N80" si="148">IF(D80=0," ",(J80*C80))</f>
        <v>102.00000000000001</v>
      </c>
      <c r="O80" s="195"/>
      <c r="P80" s="51"/>
      <c r="Q80" s="51"/>
    </row>
    <row r="81" spans="1:17" s="38" customFormat="1" ht="19" x14ac:dyDescent="0.25">
      <c r="A81" s="71" t="str">
        <f>IF(F81&lt;&gt;"",(LARGE(A$7:A79,1)+1),"")</f>
        <v/>
      </c>
      <c r="B81" s="135"/>
      <c r="C81" s="132"/>
      <c r="D81" s="51"/>
      <c r="E81" s="48"/>
      <c r="F81" s="159"/>
      <c r="G81" s="48"/>
      <c r="H81" s="48"/>
      <c r="I81" s="48"/>
      <c r="J81" s="159"/>
      <c r="K81" s="48"/>
      <c r="L81" s="48"/>
      <c r="M81" s="48"/>
      <c r="N81" s="159"/>
      <c r="O81" s="195"/>
      <c r="P81" s="51"/>
      <c r="Q81" s="51"/>
    </row>
    <row r="82" spans="1:17" s="38" customFormat="1" ht="20" x14ac:dyDescent="0.25">
      <c r="A82" s="71">
        <f>IF(F82&lt;&gt;"",(LARGE(A$7:A80,1)+1),"")</f>
        <v>30</v>
      </c>
      <c r="B82" s="135" t="s">
        <v>176</v>
      </c>
      <c r="C82" s="132">
        <v>2</v>
      </c>
      <c r="D82" s="51" t="s">
        <v>12</v>
      </c>
      <c r="E82" s="48">
        <f t="shared" ref="E82" si="149">G82+H82</f>
        <v>900</v>
      </c>
      <c r="F82" s="159">
        <f t="shared" ref="F82" si="150">E82*C82</f>
        <v>1800</v>
      </c>
      <c r="G82" s="59">
        <v>220</v>
      </c>
      <c r="H82" s="48">
        <v>680</v>
      </c>
      <c r="I82" s="48">
        <f>IF(D82=0," ",(G82)*(Details!$C$4+Details!$C$8))</f>
        <v>33.000000000000007</v>
      </c>
      <c r="J82" s="159">
        <f>IF(D82=0," ",(H82)*(Details!$C$6+Details!$C$8))</f>
        <v>102.00000000000001</v>
      </c>
      <c r="K82" s="59">
        <f t="shared" ref="K82" si="151">+G82*C82</f>
        <v>440</v>
      </c>
      <c r="L82" s="48">
        <f t="shared" ref="L82" si="152">+H82*C82</f>
        <v>1360</v>
      </c>
      <c r="M82" s="48">
        <f t="shared" ref="M82" si="153">IF(D82=0," ",(I82*C82))</f>
        <v>66.000000000000014</v>
      </c>
      <c r="N82" s="159">
        <f t="shared" ref="N82" si="154">IF(D82=0," ",(J82*C82))</f>
        <v>204.00000000000003</v>
      </c>
      <c r="O82" s="195"/>
      <c r="P82" s="51"/>
      <c r="Q82" s="51"/>
    </row>
    <row r="83" spans="1:17" s="38" customFormat="1" ht="19" x14ac:dyDescent="0.25">
      <c r="A83" s="71" t="str">
        <f>IF(F83&lt;&gt;"",(LARGE(A$7:A81,1)+1),"")</f>
        <v/>
      </c>
      <c r="B83" s="135"/>
      <c r="C83" s="132"/>
      <c r="D83" s="51"/>
      <c r="E83" s="48"/>
      <c r="F83" s="159"/>
      <c r="G83" s="48"/>
      <c r="H83" s="48"/>
      <c r="I83" s="48"/>
      <c r="J83" s="159"/>
      <c r="K83" s="48"/>
      <c r="L83" s="48"/>
      <c r="M83" s="48"/>
      <c r="N83" s="159"/>
      <c r="O83" s="195"/>
      <c r="P83" s="51"/>
      <c r="Q83" s="51"/>
    </row>
    <row r="84" spans="1:17" s="38" customFormat="1" ht="20" x14ac:dyDescent="0.25">
      <c r="A84" s="71">
        <f>IF(F84&lt;&gt;"",(LARGE(A$7:A82,1)+1),"")</f>
        <v>31</v>
      </c>
      <c r="B84" s="135" t="s">
        <v>177</v>
      </c>
      <c r="C84" s="132">
        <v>1</v>
      </c>
      <c r="D84" s="51" t="s">
        <v>12</v>
      </c>
      <c r="E84" s="48">
        <f t="shared" ref="E84" si="155">G84+H84</f>
        <v>900</v>
      </c>
      <c r="F84" s="159">
        <f t="shared" ref="F84" si="156">E84*C84</f>
        <v>900</v>
      </c>
      <c r="G84" s="59">
        <v>220</v>
      </c>
      <c r="H84" s="48">
        <v>680</v>
      </c>
      <c r="I84" s="48">
        <f>IF(D84=0," ",(G84)*(Details!$C$4+Details!$C$8))</f>
        <v>33.000000000000007</v>
      </c>
      <c r="J84" s="159">
        <f>IF(D84=0," ",(H84)*(Details!$C$6+Details!$C$8))</f>
        <v>102.00000000000001</v>
      </c>
      <c r="K84" s="59">
        <f t="shared" ref="K84" si="157">+G84*C84</f>
        <v>220</v>
      </c>
      <c r="L84" s="48">
        <f t="shared" ref="L84" si="158">+H84*C84</f>
        <v>680</v>
      </c>
      <c r="M84" s="48">
        <f t="shared" ref="M84" si="159">IF(D84=0," ",(I84*C84))</f>
        <v>33.000000000000007</v>
      </c>
      <c r="N84" s="159">
        <f t="shared" ref="N84" si="160">IF(D84=0," ",(J84*C84))</f>
        <v>102.00000000000001</v>
      </c>
      <c r="O84" s="195"/>
      <c r="P84" s="51"/>
      <c r="Q84" s="51"/>
    </row>
    <row r="85" spans="1:17" s="38" customFormat="1" ht="19" x14ac:dyDescent="0.25">
      <c r="A85" s="71" t="str">
        <f>IF(F85&lt;&gt;"",(LARGE(A$7:A83,1)+1),"")</f>
        <v/>
      </c>
      <c r="B85" s="135"/>
      <c r="C85" s="132"/>
      <c r="D85" s="51"/>
      <c r="E85" s="48"/>
      <c r="F85" s="159"/>
      <c r="G85" s="48"/>
      <c r="H85" s="48"/>
      <c r="I85" s="48"/>
      <c r="J85" s="159"/>
      <c r="K85" s="48"/>
      <c r="L85" s="48"/>
      <c r="M85" s="48"/>
      <c r="N85" s="159"/>
      <c r="O85" s="195"/>
      <c r="P85" s="51"/>
      <c r="Q85" s="51"/>
    </row>
    <row r="86" spans="1:17" s="38" customFormat="1" ht="20" x14ac:dyDescent="0.25">
      <c r="A86" s="71" t="str">
        <f>IF(F86&lt;&gt;"",(LARGE(A$7:A84,1)+1),"")</f>
        <v/>
      </c>
      <c r="B86" s="146" t="s">
        <v>179</v>
      </c>
      <c r="C86" s="132"/>
      <c r="D86" s="51"/>
      <c r="E86" s="48"/>
      <c r="F86" s="159"/>
      <c r="G86" s="48"/>
      <c r="H86" s="48"/>
      <c r="I86" s="48"/>
      <c r="J86" s="159"/>
      <c r="K86" s="48"/>
      <c r="L86" s="48"/>
      <c r="M86" s="48"/>
      <c r="N86" s="159"/>
      <c r="O86" s="195"/>
      <c r="P86" s="51"/>
      <c r="Q86" s="51"/>
    </row>
    <row r="87" spans="1:17" s="38" customFormat="1" ht="19" x14ac:dyDescent="0.25">
      <c r="A87" s="71" t="str">
        <f>IF(F87&lt;&gt;"",(LARGE(A$7:A85,1)+1),"")</f>
        <v/>
      </c>
      <c r="B87" s="146"/>
      <c r="C87" s="132"/>
      <c r="D87" s="51"/>
      <c r="E87" s="48"/>
      <c r="F87" s="159"/>
      <c r="G87" s="48"/>
      <c r="H87" s="48"/>
      <c r="I87" s="48"/>
      <c r="J87" s="159"/>
      <c r="K87" s="48"/>
      <c r="L87" s="48"/>
      <c r="M87" s="48"/>
      <c r="N87" s="159"/>
      <c r="O87" s="195"/>
      <c r="P87" s="51"/>
      <c r="Q87" s="51"/>
    </row>
    <row r="88" spans="1:17" s="38" customFormat="1" ht="20" x14ac:dyDescent="0.25">
      <c r="A88" s="71">
        <f>IF(F88&lt;&gt;"",(LARGE(A$7:A86,1)+1),"")</f>
        <v>32</v>
      </c>
      <c r="B88" s="135" t="s">
        <v>178</v>
      </c>
      <c r="C88" s="132">
        <v>38</v>
      </c>
      <c r="D88" s="51" t="s">
        <v>10</v>
      </c>
      <c r="E88" s="48">
        <f t="shared" ref="E88" si="161">G88+H88</f>
        <v>37.94</v>
      </c>
      <c r="F88" s="159">
        <f t="shared" ref="F88" si="162">E88*C88</f>
        <v>1441.7199999999998</v>
      </c>
      <c r="G88" s="59">
        <v>23.44</v>
      </c>
      <c r="H88" s="48">
        <v>14.5</v>
      </c>
      <c r="I88" s="48">
        <f>IF(D88=0," ",(G88)*(Details!$C$4+Details!$C$8))</f>
        <v>3.5160000000000009</v>
      </c>
      <c r="J88" s="159">
        <f>IF(D88=0," ",(H88)*(Details!$C$6+Details!$C$8))</f>
        <v>2.1750000000000003</v>
      </c>
      <c r="K88" s="59">
        <f t="shared" ref="K88" si="163">+G88*C88</f>
        <v>890.72</v>
      </c>
      <c r="L88" s="48">
        <f t="shared" ref="L88" si="164">+H88*C88</f>
        <v>551</v>
      </c>
      <c r="M88" s="48">
        <f t="shared" ref="M88" si="165">IF(D88=0," ",(I88*C88))</f>
        <v>133.60800000000003</v>
      </c>
      <c r="N88" s="159">
        <f t="shared" ref="N88" si="166">IF(D88=0," ",(J88*C88))</f>
        <v>82.65</v>
      </c>
      <c r="O88" s="195"/>
      <c r="P88" s="51"/>
      <c r="Q88" s="51"/>
    </row>
    <row r="89" spans="1:17" s="38" customFormat="1" ht="19" x14ac:dyDescent="0.25">
      <c r="A89" s="71" t="str">
        <f>IF(F89&lt;&gt;"",(LARGE(A$7:A87,1)+1),"")</f>
        <v/>
      </c>
      <c r="B89" s="135"/>
      <c r="C89" s="132"/>
      <c r="D89" s="51"/>
      <c r="E89" s="48"/>
      <c r="F89" s="159"/>
      <c r="G89" s="48"/>
      <c r="H89" s="48"/>
      <c r="I89" s="48"/>
      <c r="J89" s="159"/>
      <c r="K89" s="48"/>
      <c r="L89" s="48"/>
      <c r="M89" s="48"/>
      <c r="N89" s="159"/>
      <c r="O89" s="195"/>
      <c r="P89" s="51"/>
      <c r="Q89" s="51"/>
    </row>
    <row r="90" spans="1:17" s="38" customFormat="1" ht="19" x14ac:dyDescent="0.25">
      <c r="A90" s="71" t="str">
        <f>IF(F90&lt;&gt;"",(LARGE(A$7:A88,1)+1),"")</f>
        <v/>
      </c>
      <c r="B90" s="135"/>
      <c r="C90" s="132"/>
      <c r="D90" s="51"/>
      <c r="E90" s="48"/>
      <c r="F90" s="159"/>
      <c r="G90" s="48"/>
      <c r="H90" s="48"/>
      <c r="I90" s="48"/>
      <c r="J90" s="159"/>
      <c r="K90" s="48"/>
      <c r="L90" s="48"/>
      <c r="M90" s="48"/>
      <c r="N90" s="159"/>
      <c r="O90" s="195"/>
      <c r="P90" s="51"/>
      <c r="Q90" s="51"/>
    </row>
    <row r="91" spans="1:17" s="38" customFormat="1" ht="20" x14ac:dyDescent="0.25">
      <c r="A91" s="71" t="str">
        <f>IF(F91&lt;&gt;"",(LARGE(A$7:A89,1)+1),"")</f>
        <v/>
      </c>
      <c r="B91" s="146" t="s">
        <v>181</v>
      </c>
      <c r="C91" s="132"/>
      <c r="D91" s="51"/>
      <c r="E91" s="48"/>
      <c r="F91" s="159"/>
      <c r="G91" s="48"/>
      <c r="H91" s="48"/>
      <c r="I91" s="48"/>
      <c r="J91" s="159"/>
      <c r="K91" s="48"/>
      <c r="L91" s="48"/>
      <c r="M91" s="48"/>
      <c r="N91" s="159"/>
      <c r="O91" s="195"/>
      <c r="P91" s="51"/>
      <c r="Q91" s="51"/>
    </row>
    <row r="92" spans="1:17" s="38" customFormat="1" ht="20" x14ac:dyDescent="0.25">
      <c r="A92" s="71">
        <f>IF(F92&lt;&gt;"",(LARGE(A$7:A90,1)+1),"")</f>
        <v>33</v>
      </c>
      <c r="B92" s="135" t="s">
        <v>180</v>
      </c>
      <c r="C92" s="132">
        <v>1</v>
      </c>
      <c r="D92" s="51" t="s">
        <v>12</v>
      </c>
      <c r="E92" s="48">
        <f t="shared" ref="E92" si="167">G92+H92</f>
        <v>980</v>
      </c>
      <c r="F92" s="159">
        <f t="shared" ref="F92" si="168">E92*C92</f>
        <v>980</v>
      </c>
      <c r="G92" s="59">
        <v>240</v>
      </c>
      <c r="H92" s="48">
        <v>740</v>
      </c>
      <c r="I92" s="48">
        <f>IF(D92=0," ",(G92)*(Details!$C$4+Details!$C$8))</f>
        <v>36.000000000000007</v>
      </c>
      <c r="J92" s="159">
        <f>IF(D92=0," ",(H92)*(Details!$C$6+Details!$C$8))</f>
        <v>111.00000000000001</v>
      </c>
      <c r="K92" s="59">
        <f t="shared" ref="K92" si="169">+G92*C92</f>
        <v>240</v>
      </c>
      <c r="L92" s="48">
        <f t="shared" ref="L92" si="170">+H92*C92</f>
        <v>740</v>
      </c>
      <c r="M92" s="48">
        <f t="shared" ref="M92" si="171">IF(D92=0," ",(I92*C92))</f>
        <v>36.000000000000007</v>
      </c>
      <c r="N92" s="159">
        <f t="shared" ref="N92" si="172">IF(D92=0," ",(J92*C92))</f>
        <v>111.00000000000001</v>
      </c>
      <c r="O92" s="195"/>
      <c r="P92" s="51"/>
      <c r="Q92" s="51"/>
    </row>
    <row r="93" spans="1:17" s="21" customFormat="1" ht="19" x14ac:dyDescent="0.25">
      <c r="A93" s="71" t="str">
        <f>IF(F93&lt;&gt;"",(LARGE(A$7:A91,1)+1),"")</f>
        <v/>
      </c>
      <c r="B93" s="135"/>
      <c r="C93" s="132"/>
      <c r="D93" s="51"/>
      <c r="E93" s="48"/>
      <c r="F93" s="159"/>
      <c r="G93" s="59"/>
      <c r="H93" s="48"/>
      <c r="I93" s="48"/>
      <c r="J93" s="159"/>
      <c r="K93" s="20"/>
      <c r="L93" s="20"/>
      <c r="M93" s="20"/>
      <c r="N93" s="159"/>
      <c r="P93" s="51"/>
    </row>
    <row r="94" spans="1:17" s="21" customFormat="1" ht="20" thickBot="1" x14ac:dyDescent="0.3">
      <c r="A94" s="71"/>
      <c r="B94" s="142"/>
      <c r="C94" s="132"/>
      <c r="D94" s="60"/>
      <c r="E94" s="62" t="s">
        <v>63</v>
      </c>
      <c r="F94" s="160">
        <f>SUM(F8:F93)</f>
        <v>43020.682499999995</v>
      </c>
      <c r="G94" s="59"/>
      <c r="H94" s="48"/>
      <c r="I94" s="48"/>
      <c r="J94" s="159"/>
      <c r="K94" s="185">
        <f>SUM(K7:K93)</f>
        <v>27904.187500000004</v>
      </c>
      <c r="L94" s="186">
        <f>SUM(L7:L93)</f>
        <v>15116.494999999999</v>
      </c>
      <c r="M94" s="186">
        <f>SUM(M7:M93)</f>
        <v>4185.6281250000002</v>
      </c>
      <c r="N94" s="160">
        <f>SUM(N7:N93)</f>
        <v>2267.4742500000002</v>
      </c>
      <c r="P94" s="51"/>
    </row>
    <row r="95" spans="1:17" s="21" customFormat="1" ht="21" thickTop="1" thickBot="1" x14ac:dyDescent="0.3">
      <c r="A95" s="143" t="str">
        <f>IF(F95&lt;&gt;"",(LARGE(A$7:A94,1)+1),"")</f>
        <v/>
      </c>
      <c r="B95" s="144"/>
      <c r="C95" s="137"/>
      <c r="D95" s="63"/>
      <c r="E95" s="65"/>
      <c r="F95" s="161"/>
      <c r="G95" s="66"/>
      <c r="H95" s="65"/>
      <c r="I95" s="65"/>
      <c r="J95" s="67"/>
      <c r="K95" s="56"/>
      <c r="L95" s="56"/>
      <c r="M95" s="56"/>
      <c r="N95" s="148"/>
      <c r="P95" s="51"/>
    </row>
  </sheetData>
  <mergeCells count="2">
    <mergeCell ref="G5:J5"/>
    <mergeCell ref="K5:N5"/>
  </mergeCells>
  <conditionalFormatting sqref="G8:G10590">
    <cfRule type="notContainsBlanks" dxfId="12" priority="1">
      <formula>LEN(TRIM(G8))&gt;0</formula>
    </cfRule>
  </conditionalFormatting>
  <conditionalFormatting sqref="H11">
    <cfRule type="notContainsBlanks" dxfId="11" priority="216">
      <formula>LEN(TRIM(H11))&gt;0</formula>
    </cfRule>
  </conditionalFormatting>
  <conditionalFormatting sqref="H14 H16 H18 H20 H22 H50:H52 H54:H56 H93:I10590">
    <cfRule type="notContainsBlanks" dxfId="10" priority="50">
      <formula>LEN(TRIM(H14))&gt;0</formula>
    </cfRule>
  </conditionalFormatting>
  <conditionalFormatting sqref="H24:H26 H28 H30 H32 H34">
    <cfRule type="notContainsBlanks" dxfId="9" priority="19">
      <formula>LEN(TRIM(H24))&gt;0</formula>
    </cfRule>
  </conditionalFormatting>
  <conditionalFormatting sqref="H36:H47">
    <cfRule type="notContainsBlanks" dxfId="8" priority="18">
      <formula>LEN(TRIM(H36))&gt;0</formula>
    </cfRule>
  </conditionalFormatting>
  <conditionalFormatting sqref="H60 H62 H64 H72 H74 H76 H78 H80 H82 H84 H66 H68 H70">
    <cfRule type="notContainsBlanks" dxfId="7" priority="14">
      <formula>LEN(TRIM(H60))&gt;0</formula>
    </cfRule>
  </conditionalFormatting>
  <conditionalFormatting sqref="H88">
    <cfRule type="notContainsBlanks" dxfId="6" priority="10">
      <formula>LEN(TRIM(H88))&gt;0</formula>
    </cfRule>
  </conditionalFormatting>
  <conditionalFormatting sqref="H92">
    <cfRule type="notContainsBlanks" dxfId="5" priority="2">
      <formula>LEN(TRIM(H92))&gt;0</formula>
    </cfRule>
  </conditionalFormatting>
  <conditionalFormatting sqref="H8:I10">
    <cfRule type="notContainsBlanks" dxfId="4" priority="251">
      <formula>LEN(TRIM(H8))&gt;0</formula>
    </cfRule>
  </conditionalFormatting>
  <conditionalFormatting sqref="H12:I13 H15:I15 H17:I17 H19:I19 H21:I21 H23:I23">
    <cfRule type="notContainsBlanks" dxfId="3" priority="242">
      <formula>LEN(TRIM(H12))&gt;0</formula>
    </cfRule>
  </conditionalFormatting>
  <conditionalFormatting sqref="H27:I27 H29:I29 H31:I31 H33:I33 H35:I35">
    <cfRule type="notContainsBlanks" dxfId="2" priority="20">
      <formula>LEN(TRIM(H27))&gt;0</formula>
    </cfRule>
  </conditionalFormatting>
  <conditionalFormatting sqref="H48:I49 H53:I53 H57:I59 H61:I61 H63:I63 H65:I65 H67:I67 H69:I69 H71:I71 H73:I73 H75:I75 H77:I77 H79:I79 H81:I81 H83:I83 H85:I87 H89:I91">
    <cfRule type="notContainsBlanks" dxfId="1" priority="238">
      <formula>LEN(TRIM(H48))&gt;0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0">
    <pageSetUpPr fitToPage="1"/>
  </sheetPr>
  <dimension ref="A1:L71"/>
  <sheetViews>
    <sheetView zoomScale="75" zoomScaleNormal="55" workbookViewId="0">
      <selection activeCell="F66" sqref="F66"/>
    </sheetView>
  </sheetViews>
  <sheetFormatPr baseColWidth="10" defaultColWidth="9.1640625" defaultRowHeight="16" x14ac:dyDescent="0.2"/>
  <cols>
    <col min="1" max="1" width="5.5" style="16" customWidth="1"/>
    <col min="2" max="2" width="80.83203125" style="21" customWidth="1"/>
    <col min="3" max="3" width="12.5" style="28" customWidth="1"/>
    <col min="4" max="4" width="8.6640625" style="16" customWidth="1"/>
    <col min="5" max="5" width="15.6640625" style="20" customWidth="1"/>
    <col min="6" max="7" width="15.6640625" style="16" customWidth="1"/>
    <col min="8" max="8" width="15.6640625" style="20" customWidth="1"/>
    <col min="9" max="10" width="12.5" style="32" customWidth="1"/>
    <col min="11" max="11" width="10.5" style="16" bestFit="1" customWidth="1"/>
    <col min="12" max="16384" width="9.1640625" style="16"/>
  </cols>
  <sheetData>
    <row r="1" spans="1:11" x14ac:dyDescent="0.2">
      <c r="A1" s="29"/>
      <c r="B1" s="23"/>
      <c r="C1" s="30"/>
      <c r="D1" s="24"/>
      <c r="E1" s="33"/>
      <c r="F1" s="34"/>
      <c r="G1" s="33"/>
      <c r="H1" s="25"/>
    </row>
    <row r="2" spans="1:11" x14ac:dyDescent="0.2">
      <c r="A2" s="15"/>
      <c r="B2" s="3" t="str">
        <f>+'Qual, Excl &amp; Assum'!B2</f>
        <v xml:space="preserve">PROJECT: Rothiemurchus </v>
      </c>
      <c r="F2" s="35"/>
      <c r="G2" s="20"/>
      <c r="H2" s="26"/>
    </row>
    <row r="3" spans="1:11" x14ac:dyDescent="0.2">
      <c r="A3" s="15"/>
      <c r="B3" s="53" t="str">
        <f>+'Qual, Excl &amp; Assum'!B3</f>
        <v>DATE: 28 SEPTEMBER 2025</v>
      </c>
      <c r="F3" s="35"/>
      <c r="G3" s="20"/>
      <c r="H3" s="26"/>
    </row>
    <row r="4" spans="1:11" s="21" customFormat="1" ht="17" thickBot="1" x14ac:dyDescent="0.25">
      <c r="A4" s="15"/>
      <c r="B4" s="22"/>
      <c r="C4" s="28"/>
      <c r="E4" s="36"/>
      <c r="F4" s="37"/>
      <c r="G4" s="36"/>
      <c r="H4" s="27"/>
      <c r="I4" s="68"/>
      <c r="J4" s="68"/>
    </row>
    <row r="5" spans="1:11" s="21" customFormat="1" ht="37.5" customHeight="1" thickBot="1" x14ac:dyDescent="0.3">
      <c r="A5" s="165"/>
      <c r="B5" s="166" t="s">
        <v>9</v>
      </c>
      <c r="C5" s="183"/>
      <c r="D5" s="167"/>
      <c r="E5" s="168"/>
      <c r="F5" s="169"/>
      <c r="G5" s="168"/>
      <c r="H5" s="184"/>
      <c r="I5" s="277"/>
      <c r="J5" s="278"/>
    </row>
    <row r="6" spans="1:11" s="21" customFormat="1" ht="19" x14ac:dyDescent="0.25">
      <c r="A6" s="49"/>
      <c r="B6" s="38"/>
      <c r="C6" s="52"/>
      <c r="D6" s="38"/>
      <c r="E6" s="64"/>
      <c r="F6" s="157"/>
      <c r="G6" s="64"/>
      <c r="H6" s="162"/>
      <c r="I6" s="32"/>
      <c r="J6" s="32"/>
      <c r="K6" s="70"/>
    </row>
    <row r="7" spans="1:11" s="21" customFormat="1" ht="19" x14ac:dyDescent="0.25">
      <c r="A7" s="49"/>
      <c r="B7" s="3" t="s">
        <v>3</v>
      </c>
      <c r="C7" s="189" t="s">
        <v>8</v>
      </c>
      <c r="D7" s="190" t="s">
        <v>2</v>
      </c>
      <c r="E7" s="54" t="s">
        <v>1</v>
      </c>
      <c r="F7" s="191" t="s">
        <v>0</v>
      </c>
      <c r="G7" s="54" t="s">
        <v>19</v>
      </c>
      <c r="H7" s="170" t="s">
        <v>91</v>
      </c>
      <c r="I7" s="68"/>
      <c r="J7" s="68"/>
    </row>
    <row r="8" spans="1:11" s="21" customFormat="1" ht="19" x14ac:dyDescent="0.25">
      <c r="A8" s="49"/>
      <c r="B8" s="138"/>
      <c r="C8" s="181"/>
      <c r="D8" s="61"/>
      <c r="E8" s="62"/>
      <c r="F8" s="158"/>
      <c r="G8" s="62"/>
      <c r="H8" s="163"/>
      <c r="I8" s="32"/>
      <c r="J8" s="20"/>
    </row>
    <row r="9" spans="1:11" s="21" customFormat="1" ht="20" x14ac:dyDescent="0.25">
      <c r="A9" s="49">
        <v>1</v>
      </c>
      <c r="B9" s="182" t="s">
        <v>42</v>
      </c>
      <c r="C9" s="132">
        <v>1</v>
      </c>
      <c r="D9" s="51" t="s">
        <v>30</v>
      </c>
      <c r="E9" s="48">
        <f>G9</f>
        <v>2250</v>
      </c>
      <c r="F9" s="159">
        <f>E9*C9</f>
        <v>2250</v>
      </c>
      <c r="G9" s="48">
        <v>2250</v>
      </c>
      <c r="H9" s="159">
        <f>IF(D9=0," ",(G9)*(Details!$C$4+Details!$C$8))</f>
        <v>337.50000000000006</v>
      </c>
      <c r="I9" s="32"/>
      <c r="J9" s="20"/>
    </row>
    <row r="10" spans="1:11" s="21" customFormat="1" ht="19" x14ac:dyDescent="0.25">
      <c r="A10" s="49"/>
      <c r="B10" s="138"/>
      <c r="C10" s="181"/>
      <c r="D10" s="61"/>
      <c r="E10" s="48"/>
      <c r="F10" s="158"/>
      <c r="G10" s="62"/>
      <c r="H10" s="163"/>
      <c r="I10" s="32"/>
      <c r="J10" s="20"/>
    </row>
    <row r="11" spans="1:11" s="21" customFormat="1" ht="20" x14ac:dyDescent="0.25">
      <c r="A11" s="71">
        <f>IF(F11&lt;&gt;"",(LARGE(A$7:A10,1)+1),"")</f>
        <v>2</v>
      </c>
      <c r="B11" s="182" t="s">
        <v>28</v>
      </c>
      <c r="C11" s="132">
        <v>1</v>
      </c>
      <c r="D11" s="51" t="s">
        <v>12</v>
      </c>
      <c r="E11" s="48">
        <f t="shared" ref="E11:E33" si="0">G11</f>
        <v>1450</v>
      </c>
      <c r="F11" s="159">
        <f>E11*C11</f>
        <v>1450</v>
      </c>
      <c r="G11" s="48">
        <v>1450</v>
      </c>
      <c r="H11" s="159">
        <f>IF(D11=0," ",(G11)*(Details!$C$4+Details!$C$8))</f>
        <v>217.50000000000003</v>
      </c>
      <c r="I11" s="32"/>
      <c r="J11" s="69"/>
    </row>
    <row r="12" spans="1:11" s="21" customFormat="1" ht="19" x14ac:dyDescent="0.25">
      <c r="A12" s="71" t="str">
        <f>IF(F12&lt;&gt;"",(LARGE(A$7:A11,1)+1),"")</f>
        <v/>
      </c>
      <c r="B12" s="38"/>
      <c r="C12" s="132"/>
      <c r="D12" s="60"/>
      <c r="E12" s="48"/>
      <c r="F12" s="159"/>
      <c r="G12" s="48"/>
      <c r="H12" s="163"/>
      <c r="I12" s="32"/>
      <c r="J12" s="20"/>
    </row>
    <row r="13" spans="1:11" s="21" customFormat="1" ht="19" x14ac:dyDescent="0.25">
      <c r="A13" s="71">
        <f>IF(F13&lt;&gt;"",(LARGE(A$7:A12,1)+1),"")</f>
        <v>3</v>
      </c>
      <c r="B13" s="38" t="s">
        <v>20</v>
      </c>
      <c r="C13" s="132">
        <v>1</v>
      </c>
      <c r="D13" s="51" t="s">
        <v>11</v>
      </c>
      <c r="E13" s="48">
        <f t="shared" si="0"/>
        <v>1850</v>
      </c>
      <c r="F13" s="159">
        <f>E13*C13</f>
        <v>1850</v>
      </c>
      <c r="G13" s="48">
        <v>1850</v>
      </c>
      <c r="H13" s="159">
        <f>IF(D13=0," ",(G13)*(Details!$C$4+Details!$C$8))</f>
        <v>277.50000000000006</v>
      </c>
      <c r="I13" s="32"/>
      <c r="J13" s="20"/>
    </row>
    <row r="14" spans="1:11" s="21" customFormat="1" ht="19" x14ac:dyDescent="0.25">
      <c r="A14" s="71" t="str">
        <f>IF(F14&lt;&gt;"",(LARGE(A$7:A13,1)+1),"")</f>
        <v/>
      </c>
      <c r="B14" s="38"/>
      <c r="C14" s="132"/>
      <c r="D14" s="51"/>
      <c r="E14" s="48"/>
      <c r="F14" s="159"/>
      <c r="G14" s="48"/>
      <c r="H14" s="163"/>
      <c r="I14" s="32"/>
      <c r="J14" s="20"/>
    </row>
    <row r="15" spans="1:11" s="21" customFormat="1" ht="20" x14ac:dyDescent="0.25">
      <c r="A15" s="71">
        <f>IF(F15&lt;&gt;"",(LARGE(A$7:A14,1)+1),"")</f>
        <v>4</v>
      </c>
      <c r="B15" s="135" t="s">
        <v>21</v>
      </c>
      <c r="C15" s="132">
        <v>1</v>
      </c>
      <c r="D15" s="51" t="s">
        <v>11</v>
      </c>
      <c r="E15" s="48">
        <f t="shared" si="0"/>
        <v>1250</v>
      </c>
      <c r="F15" s="159">
        <f>E15*C15</f>
        <v>1250</v>
      </c>
      <c r="G15" s="48">
        <v>1250</v>
      </c>
      <c r="H15" s="159">
        <f>IF(D15=0," ",(G15)*(Details!$C$4+Details!$C$8))</f>
        <v>187.50000000000003</v>
      </c>
      <c r="I15" s="32"/>
      <c r="J15" s="20"/>
    </row>
    <row r="16" spans="1:11" s="21" customFormat="1" ht="19" x14ac:dyDescent="0.25">
      <c r="A16" s="71" t="str">
        <f>IF(F16&lt;&gt;"",(LARGE(A$7:A15,1)+1),"")</f>
        <v/>
      </c>
      <c r="B16" s="135"/>
      <c r="C16" s="132"/>
      <c r="D16" s="60"/>
      <c r="E16" s="48"/>
      <c r="F16" s="159"/>
      <c r="G16" s="48"/>
      <c r="H16" s="163"/>
      <c r="I16" s="32"/>
      <c r="J16" s="20"/>
      <c r="K16" s="72"/>
    </row>
    <row r="17" spans="1:11" s="21" customFormat="1" ht="20" x14ac:dyDescent="0.25">
      <c r="A17" s="71">
        <f>IF(F17&lt;&gt;"",(LARGE(A$7:A16,1)+1),"")</f>
        <v>5</v>
      </c>
      <c r="B17" s="135" t="s">
        <v>22</v>
      </c>
      <c r="C17" s="132">
        <v>1</v>
      </c>
      <c r="D17" s="51" t="s">
        <v>11</v>
      </c>
      <c r="E17" s="48">
        <f t="shared" si="0"/>
        <v>865</v>
      </c>
      <c r="F17" s="159">
        <f>E17*C17</f>
        <v>865</v>
      </c>
      <c r="G17" s="48">
        <v>865</v>
      </c>
      <c r="H17" s="159">
        <f>IF(D17=0," ",(G17)*(Details!$C$4+Details!$C$8))</f>
        <v>129.75000000000003</v>
      </c>
      <c r="I17" s="32"/>
      <c r="J17" s="20"/>
    </row>
    <row r="18" spans="1:11" s="21" customFormat="1" ht="19" x14ac:dyDescent="0.25">
      <c r="A18" s="71" t="str">
        <f>IF(F18&lt;&gt;"",(LARGE(A$7:A17,1)+1),"")</f>
        <v/>
      </c>
      <c r="B18" s="135"/>
      <c r="C18" s="132"/>
      <c r="D18" s="60"/>
      <c r="E18" s="48"/>
      <c r="F18" s="159"/>
      <c r="G18" s="48"/>
      <c r="H18" s="163"/>
      <c r="I18" s="32"/>
      <c r="J18" s="20"/>
      <c r="K18" s="36"/>
    </row>
    <row r="19" spans="1:11" s="21" customFormat="1" ht="20" x14ac:dyDescent="0.25">
      <c r="A19" s="71">
        <f>IF(F19&lt;&gt;"",(LARGE(A$7:A18,1)+1),"")</f>
        <v>6</v>
      </c>
      <c r="B19" s="135" t="s">
        <v>23</v>
      </c>
      <c r="C19" s="132">
        <v>1</v>
      </c>
      <c r="D19" s="51" t="s">
        <v>11</v>
      </c>
      <c r="E19" s="48">
        <f t="shared" si="0"/>
        <v>455</v>
      </c>
      <c r="F19" s="159">
        <f>E19*C19</f>
        <v>455</v>
      </c>
      <c r="G19" s="48">
        <v>455</v>
      </c>
      <c r="H19" s="159">
        <f>IF(D19=0," ",(G19)*(Details!$C$4+Details!$C$8))</f>
        <v>68.250000000000014</v>
      </c>
      <c r="I19" s="32"/>
      <c r="J19" s="20"/>
    </row>
    <row r="20" spans="1:11" s="21" customFormat="1" ht="19" x14ac:dyDescent="0.25">
      <c r="A20" s="71" t="str">
        <f>IF(F20&lt;&gt;"",(LARGE(A$7:A19,1)+1),"")</f>
        <v/>
      </c>
      <c r="B20" s="135"/>
      <c r="C20" s="132"/>
      <c r="D20" s="60"/>
      <c r="E20" s="48"/>
      <c r="F20" s="159"/>
      <c r="G20" s="48"/>
      <c r="H20" s="163"/>
      <c r="I20" s="32"/>
      <c r="J20" s="20"/>
    </row>
    <row r="21" spans="1:11" s="21" customFormat="1" ht="20" x14ac:dyDescent="0.25">
      <c r="A21" s="71">
        <f>IF(F21&lt;&gt;"",(LARGE(A$7:A20,1)+1),"")</f>
        <v>7</v>
      </c>
      <c r="B21" s="135" t="s">
        <v>24</v>
      </c>
      <c r="C21" s="132">
        <v>1</v>
      </c>
      <c r="D21" s="51" t="s">
        <v>11</v>
      </c>
      <c r="E21" s="48">
        <f t="shared" si="0"/>
        <v>1250</v>
      </c>
      <c r="F21" s="159">
        <f>E21*C21</f>
        <v>1250</v>
      </c>
      <c r="G21" s="48">
        <v>1250</v>
      </c>
      <c r="H21" s="159">
        <f>IF(D21=0," ",(G21)*(Details!$C$4+Details!$C$8))</f>
        <v>187.50000000000003</v>
      </c>
      <c r="I21" s="32"/>
      <c r="J21" s="20"/>
    </row>
    <row r="22" spans="1:11" s="21" customFormat="1" ht="19" x14ac:dyDescent="0.25">
      <c r="A22" s="71" t="str">
        <f>IF(F22&lt;&gt;"",(LARGE(A$7:A21,1)+1),"")</f>
        <v/>
      </c>
      <c r="B22" s="135"/>
      <c r="C22" s="132"/>
      <c r="D22" s="60"/>
      <c r="E22" s="48"/>
      <c r="F22" s="159"/>
      <c r="G22" s="48"/>
      <c r="H22" s="163"/>
      <c r="I22" s="32"/>
      <c r="J22" s="20"/>
    </row>
    <row r="23" spans="1:11" s="21" customFormat="1" ht="20" x14ac:dyDescent="0.25">
      <c r="A23" s="71">
        <f>IF(F23&lt;&gt;"",(LARGE(A$7:A22,1)+1),"")</f>
        <v>8</v>
      </c>
      <c r="B23" s="135" t="s">
        <v>25</v>
      </c>
      <c r="C23" s="132">
        <v>1</v>
      </c>
      <c r="D23" s="51" t="s">
        <v>11</v>
      </c>
      <c r="E23" s="48">
        <f t="shared" si="0"/>
        <v>1350</v>
      </c>
      <c r="F23" s="159">
        <f>E23*C23</f>
        <v>1350</v>
      </c>
      <c r="G23" s="48">
        <v>1350</v>
      </c>
      <c r="H23" s="159">
        <f>IF(D23=0," ",(G23)*(Details!$C$4+Details!$C$8))</f>
        <v>202.50000000000003</v>
      </c>
      <c r="I23" s="32"/>
      <c r="J23" s="20"/>
    </row>
    <row r="24" spans="1:11" s="21" customFormat="1" ht="19" x14ac:dyDescent="0.25">
      <c r="A24" s="71" t="str">
        <f>IF(F24&lt;&gt;"",(LARGE(A$7:A23,1)+1),"")</f>
        <v/>
      </c>
      <c r="B24" s="135"/>
      <c r="C24" s="132"/>
      <c r="D24" s="60"/>
      <c r="E24" s="48"/>
      <c r="F24" s="159"/>
      <c r="G24" s="48"/>
      <c r="H24" s="163"/>
      <c r="I24" s="32"/>
      <c r="J24" s="20"/>
    </row>
    <row r="25" spans="1:11" s="21" customFormat="1" ht="20" x14ac:dyDescent="0.25">
      <c r="A25" s="71">
        <f>IF(F25&lt;&gt;"",(LARGE(A$7:A24,1)+1),"")</f>
        <v>9</v>
      </c>
      <c r="B25" s="135" t="s">
        <v>45</v>
      </c>
      <c r="C25" s="132">
        <v>1</v>
      </c>
      <c r="D25" s="51" t="s">
        <v>11</v>
      </c>
      <c r="E25" s="48">
        <f t="shared" si="0"/>
        <v>1000</v>
      </c>
      <c r="F25" s="159">
        <f>E25*C25</f>
        <v>1000</v>
      </c>
      <c r="G25" s="48">
        <v>1000</v>
      </c>
      <c r="H25" s="159">
        <f>IF(D25=0," ",(G25)*(Details!$C$4+Details!$C$8))</f>
        <v>150.00000000000003</v>
      </c>
      <c r="I25" s="32"/>
      <c r="J25" s="20"/>
    </row>
    <row r="26" spans="1:11" s="21" customFormat="1" ht="19" x14ac:dyDescent="0.25">
      <c r="A26" s="71" t="str">
        <f>IF(F26&lt;&gt;"",(LARGE(A$7:A25,1)+1),"")</f>
        <v/>
      </c>
      <c r="B26" s="135"/>
      <c r="C26" s="132"/>
      <c r="D26" s="51"/>
      <c r="E26" s="48"/>
      <c r="F26" s="159"/>
      <c r="G26" s="48"/>
      <c r="H26" s="163"/>
      <c r="I26" s="32"/>
      <c r="J26" s="20"/>
    </row>
    <row r="27" spans="1:11" s="21" customFormat="1" ht="20" x14ac:dyDescent="0.25">
      <c r="A27" s="71">
        <f>IF(F27&lt;&gt;"",(LARGE(A$7:A26,1)+1),"")</f>
        <v>10</v>
      </c>
      <c r="B27" s="135" t="s">
        <v>31</v>
      </c>
      <c r="C27" s="132">
        <v>1</v>
      </c>
      <c r="D27" s="51" t="s">
        <v>11</v>
      </c>
      <c r="E27" s="48">
        <f t="shared" si="0"/>
        <v>1150</v>
      </c>
      <c r="F27" s="159">
        <f>E27*C27</f>
        <v>1150</v>
      </c>
      <c r="G27" s="48">
        <v>1150</v>
      </c>
      <c r="H27" s="159">
        <f>IF(D27=0," ",(G27)*(Details!$C$4+Details!$C$8))</f>
        <v>172.50000000000003</v>
      </c>
      <c r="I27" s="32"/>
      <c r="J27" s="20"/>
    </row>
    <row r="28" spans="1:11" s="21" customFormat="1" ht="19" x14ac:dyDescent="0.25">
      <c r="A28" s="71" t="str">
        <f>IF(F28&lt;&gt;"",(LARGE(A$7:A27,1)+1),"")</f>
        <v/>
      </c>
      <c r="B28" s="135"/>
      <c r="C28" s="132"/>
      <c r="D28" s="51"/>
      <c r="E28" s="48"/>
      <c r="F28" s="159"/>
      <c r="G28" s="48"/>
      <c r="H28" s="163"/>
      <c r="I28" s="32"/>
      <c r="J28" s="20"/>
    </row>
    <row r="29" spans="1:11" s="21" customFormat="1" ht="20" x14ac:dyDescent="0.25">
      <c r="A29" s="71">
        <f>IF(F29&lt;&gt;"",(LARGE(A$7:A28,1)+1),"")</f>
        <v>11</v>
      </c>
      <c r="B29" s="135" t="s">
        <v>32</v>
      </c>
      <c r="C29" s="132">
        <v>1</v>
      </c>
      <c r="D29" s="51" t="s">
        <v>11</v>
      </c>
      <c r="E29" s="48">
        <f t="shared" si="0"/>
        <v>850</v>
      </c>
      <c r="F29" s="159">
        <f>E29*C29</f>
        <v>850</v>
      </c>
      <c r="G29" s="48">
        <v>850</v>
      </c>
      <c r="H29" s="159">
        <f>IF(D29=0," ",(G29)*(Details!$C$4+Details!$C$8))</f>
        <v>127.50000000000001</v>
      </c>
      <c r="I29" s="32"/>
      <c r="J29" s="20"/>
    </row>
    <row r="30" spans="1:11" s="21" customFormat="1" ht="19" x14ac:dyDescent="0.25">
      <c r="A30" s="71" t="str">
        <f>IF(F30&lt;&gt;"",(LARGE(A$7:A29,1)+1),"")</f>
        <v/>
      </c>
      <c r="B30" s="135"/>
      <c r="C30" s="132"/>
      <c r="D30" s="60"/>
      <c r="E30" s="48"/>
      <c r="F30" s="159"/>
      <c r="G30" s="48"/>
      <c r="H30" s="163"/>
      <c r="I30" s="32"/>
      <c r="J30" s="20"/>
    </row>
    <row r="31" spans="1:11" s="21" customFormat="1" ht="20" x14ac:dyDescent="0.25">
      <c r="A31" s="71">
        <f>IF(F31&lt;&gt;"",(LARGE(A$7:A30,1)+1),"")</f>
        <v>12</v>
      </c>
      <c r="B31" s="135" t="s">
        <v>107</v>
      </c>
      <c r="C31" s="132">
        <v>1</v>
      </c>
      <c r="D31" s="51" t="s">
        <v>11</v>
      </c>
      <c r="E31" s="48">
        <f t="shared" si="0"/>
        <v>1150</v>
      </c>
      <c r="F31" s="159">
        <f>E31*C31</f>
        <v>1150</v>
      </c>
      <c r="G31" s="48">
        <v>1150</v>
      </c>
      <c r="H31" s="159">
        <f>IF(D31=0," ",(G31)*(Details!$C$4+Details!$C$8))</f>
        <v>172.50000000000003</v>
      </c>
      <c r="I31" s="32"/>
      <c r="J31" s="20"/>
    </row>
    <row r="32" spans="1:11" s="21" customFormat="1" ht="19" x14ac:dyDescent="0.25">
      <c r="A32" s="71"/>
      <c r="B32" s="135"/>
      <c r="C32" s="132"/>
      <c r="D32" s="51"/>
      <c r="E32" s="48"/>
      <c r="F32" s="159"/>
      <c r="G32" s="48"/>
      <c r="H32" s="159"/>
      <c r="I32" s="32"/>
      <c r="J32" s="20"/>
    </row>
    <row r="33" spans="1:10" s="21" customFormat="1" ht="20" x14ac:dyDescent="0.25">
      <c r="A33" s="71">
        <f>IF(F33&lt;&gt;"",(LARGE(A$7:A32,1)+1),"")</f>
        <v>13</v>
      </c>
      <c r="B33" s="135" t="s">
        <v>150</v>
      </c>
      <c r="C33" s="132">
        <v>1</v>
      </c>
      <c r="D33" s="51" t="s">
        <v>11</v>
      </c>
      <c r="E33" s="48">
        <f t="shared" si="0"/>
        <v>2500</v>
      </c>
      <c r="F33" s="159">
        <f>E33*C33</f>
        <v>2500</v>
      </c>
      <c r="G33" s="48">
        <v>2500</v>
      </c>
      <c r="H33" s="159">
        <f>IF(D33=0," ",(G33)*(Details!$C$4+Details!$C$8))</f>
        <v>375.00000000000006</v>
      </c>
      <c r="I33" s="32"/>
      <c r="J33" s="20"/>
    </row>
    <row r="34" spans="1:10" s="21" customFormat="1" ht="19" x14ac:dyDescent="0.25">
      <c r="A34" s="71" t="str">
        <f>IF(F34&lt;&gt;"",(LARGE(A$7:A33,1)+1),"")</f>
        <v/>
      </c>
      <c r="B34" s="135"/>
      <c r="C34" s="132"/>
      <c r="D34" s="51"/>
      <c r="E34" s="48"/>
      <c r="F34" s="159"/>
      <c r="G34" s="48"/>
      <c r="H34" s="159" t="str">
        <f>IF(D34=0," ",(G34)*(Details!$C$4+Details!$C$6))</f>
        <v xml:space="preserve"> </v>
      </c>
      <c r="I34" s="32"/>
      <c r="J34" s="20"/>
    </row>
    <row r="35" spans="1:10" s="21" customFormat="1" ht="19" x14ac:dyDescent="0.25">
      <c r="A35" s="71" t="str">
        <f>IF(F35&lt;&gt;"",(LARGE(A$7:A34,1)+1),"")</f>
        <v/>
      </c>
      <c r="B35" s="135"/>
      <c r="C35" s="132"/>
      <c r="D35" s="60"/>
      <c r="E35" s="48"/>
      <c r="F35" s="159"/>
      <c r="G35" s="48"/>
      <c r="H35" s="159" t="str">
        <f>IF(D35=0," ",(G35)*(Details!$C$4+Details!$C$6))</f>
        <v xml:space="preserve"> </v>
      </c>
      <c r="I35" s="73"/>
      <c r="J35" s="20"/>
    </row>
    <row r="36" spans="1:10" s="21" customFormat="1" ht="19" x14ac:dyDescent="0.25">
      <c r="A36" s="71" t="str">
        <f>IF(F36&lt;&gt;"",(LARGE(A$7:A35,1)+1),"")</f>
        <v/>
      </c>
      <c r="B36" s="135"/>
      <c r="C36" s="132"/>
      <c r="D36" s="60"/>
      <c r="E36" s="48"/>
      <c r="F36" s="159"/>
      <c r="G36" s="48"/>
      <c r="H36" s="159" t="str">
        <f>IF(D36=0," ",(G36)*(Details!$C$4+Details!$C$6))</f>
        <v xml:space="preserve"> </v>
      </c>
      <c r="I36" s="32"/>
      <c r="J36" s="20"/>
    </row>
    <row r="37" spans="1:10" s="21" customFormat="1" ht="19" x14ac:dyDescent="0.25">
      <c r="A37" s="71" t="str">
        <f>IF(F37&lt;&gt;"",(LARGE(A$7:A36,1)+1),"")</f>
        <v/>
      </c>
      <c r="B37" s="135"/>
      <c r="C37" s="132"/>
      <c r="D37" s="60"/>
      <c r="E37" s="48"/>
      <c r="F37" s="159"/>
      <c r="G37" s="48"/>
      <c r="H37" s="159" t="str">
        <f>IF(D37=0," ",(G37)*(Details!$C$4+Details!$C$6))</f>
        <v xml:space="preserve"> </v>
      </c>
      <c r="I37" s="73"/>
      <c r="J37" s="20"/>
    </row>
    <row r="38" spans="1:10" s="21" customFormat="1" ht="19" x14ac:dyDescent="0.25">
      <c r="A38" s="71" t="str">
        <f>IF(F38&lt;&gt;"",(LARGE(A$7:A37,1)+1),"")</f>
        <v/>
      </c>
      <c r="B38" s="135"/>
      <c r="C38" s="132"/>
      <c r="D38" s="60"/>
      <c r="E38" s="48"/>
      <c r="F38" s="159"/>
      <c r="G38" s="48"/>
      <c r="H38" s="159" t="str">
        <f>IF(D38=0," ",(G38)*(Details!$C$4+Details!$C$6))</f>
        <v xml:space="preserve"> </v>
      </c>
      <c r="I38" s="32"/>
      <c r="J38" s="20"/>
    </row>
    <row r="39" spans="1:10" s="21" customFormat="1" ht="19" x14ac:dyDescent="0.25">
      <c r="A39" s="71" t="str">
        <f>IF(F39&lt;&gt;"",(LARGE(A$7:A38,1)+1),"")</f>
        <v/>
      </c>
      <c r="B39" s="135"/>
      <c r="C39" s="132"/>
      <c r="D39" s="60"/>
      <c r="E39" s="147"/>
      <c r="F39" s="159"/>
      <c r="G39" s="48"/>
      <c r="H39" s="159" t="str">
        <f>IF(D39=0," ",(G39)*(Details!$C$4+Details!$C$6))</f>
        <v xml:space="preserve"> </v>
      </c>
      <c r="I39" s="74"/>
      <c r="J39" s="20"/>
    </row>
    <row r="40" spans="1:10" s="21" customFormat="1" ht="19" x14ac:dyDescent="0.25">
      <c r="A40" s="71" t="str">
        <f>IF(F40&lt;&gt;"",(LARGE(A$7:A39,1)+1),"")</f>
        <v/>
      </c>
      <c r="B40" s="140"/>
      <c r="C40" s="132"/>
      <c r="D40" s="51"/>
      <c r="E40" s="48"/>
      <c r="F40" s="159"/>
      <c r="G40" s="48"/>
      <c r="H40" s="159" t="str">
        <f>IF(D40=0," ",(G40)*(Details!$C$4+Details!$C$6))</f>
        <v xml:space="preserve"> </v>
      </c>
      <c r="I40" s="32"/>
      <c r="J40" s="20"/>
    </row>
    <row r="41" spans="1:10" s="21" customFormat="1" ht="19" x14ac:dyDescent="0.25">
      <c r="A41" s="71" t="str">
        <f>IF(F41&lt;&gt;"",(LARGE(A$7:A40,1)+1),"")</f>
        <v/>
      </c>
      <c r="B41" s="135"/>
      <c r="C41" s="51"/>
      <c r="D41" s="51"/>
      <c r="E41" s="48"/>
      <c r="F41" s="159"/>
      <c r="G41" s="48"/>
      <c r="H41" s="159" t="str">
        <f>IF(D41=0," ",(G41)*(Details!$C$4+Details!$C$6))</f>
        <v xml:space="preserve"> </v>
      </c>
      <c r="I41" s="32"/>
      <c r="J41" s="20"/>
    </row>
    <row r="42" spans="1:10" s="21" customFormat="1" ht="19" x14ac:dyDescent="0.25">
      <c r="A42" s="71" t="str">
        <f>IF(F42&lt;&gt;"",(LARGE(A$7:A41,1)+1),"")</f>
        <v/>
      </c>
      <c r="B42" s="135"/>
      <c r="C42" s="132"/>
      <c r="D42" s="60"/>
      <c r="E42" s="48"/>
      <c r="F42" s="159"/>
      <c r="G42" s="48"/>
      <c r="H42" s="159" t="str">
        <f>IF(D42=0," ",(G42)*(Details!$C$4+Details!$C$6))</f>
        <v xml:space="preserve"> </v>
      </c>
      <c r="I42" s="32"/>
      <c r="J42" s="20"/>
    </row>
    <row r="43" spans="1:10" s="21" customFormat="1" ht="19" x14ac:dyDescent="0.25">
      <c r="A43" s="71" t="str">
        <f>IF(F43&lt;&gt;"",(LARGE(A$7:A42,1)+1),"")</f>
        <v/>
      </c>
      <c r="B43" s="135"/>
      <c r="C43" s="132"/>
      <c r="D43" s="60"/>
      <c r="E43" s="48"/>
      <c r="F43" s="159"/>
      <c r="G43" s="48"/>
      <c r="H43" s="159" t="str">
        <f>IF(D43=0," ",(G43)*(Details!$C$4+Details!$C$6))</f>
        <v xml:space="preserve"> </v>
      </c>
      <c r="I43" s="32"/>
      <c r="J43" s="20"/>
    </row>
    <row r="44" spans="1:10" s="21" customFormat="1" ht="19" x14ac:dyDescent="0.25">
      <c r="A44" s="71" t="str">
        <f>IF(F44&lt;&gt;"",(LARGE(A$7:A43,1)+1),"")</f>
        <v/>
      </c>
      <c r="B44" s="135"/>
      <c r="C44" s="132"/>
      <c r="D44" s="60"/>
      <c r="E44" s="48"/>
      <c r="F44" s="159"/>
      <c r="G44" s="48"/>
      <c r="H44" s="159" t="str">
        <f>IF(D44=0," ",(G44)*(Details!$C$4+Details!$C$6))</f>
        <v xml:space="preserve"> </v>
      </c>
      <c r="I44" s="32"/>
      <c r="J44" s="20"/>
    </row>
    <row r="45" spans="1:10" s="21" customFormat="1" ht="19" x14ac:dyDescent="0.25">
      <c r="A45" s="71" t="str">
        <f>IF(F45&lt;&gt;"",(LARGE(A$7:A44,1)+1),"")</f>
        <v/>
      </c>
      <c r="B45" s="135"/>
      <c r="C45" s="132"/>
      <c r="D45" s="60"/>
      <c r="E45" s="48"/>
      <c r="F45" s="159"/>
      <c r="G45" s="48"/>
      <c r="H45" s="159" t="str">
        <f>IF(D45=0," ",(G45)*(Details!$C$4+Details!$C$6))</f>
        <v xml:space="preserve"> </v>
      </c>
      <c r="I45" s="32"/>
      <c r="J45" s="20"/>
    </row>
    <row r="46" spans="1:10" s="21" customFormat="1" ht="19" x14ac:dyDescent="0.25">
      <c r="A46" s="71" t="str">
        <f>IF(F46&lt;&gt;"",(LARGE(A$7:A45,1)+1),"")</f>
        <v/>
      </c>
      <c r="B46" s="135"/>
      <c r="C46" s="132"/>
      <c r="D46" s="60"/>
      <c r="E46" s="48"/>
      <c r="F46" s="159"/>
      <c r="G46" s="48"/>
      <c r="H46" s="159" t="str">
        <f>IF(D46=0," ",(G46)*(Details!$C$4+Details!$C$6))</f>
        <v xml:space="preserve"> </v>
      </c>
      <c r="I46" s="32"/>
      <c r="J46" s="20"/>
    </row>
    <row r="47" spans="1:10" s="21" customFormat="1" ht="19" x14ac:dyDescent="0.25">
      <c r="A47" s="71" t="str">
        <f>IF(F47&lt;&gt;"",(LARGE(A$7:A46,1)+1),"")</f>
        <v/>
      </c>
      <c r="B47" s="135"/>
      <c r="C47" s="132"/>
      <c r="D47" s="60"/>
      <c r="E47" s="48"/>
      <c r="F47" s="159"/>
      <c r="G47" s="48"/>
      <c r="H47" s="159" t="str">
        <f>IF(D47=0," ",(G47)*(Details!$C$4+Details!$C$6))</f>
        <v xml:space="preserve"> </v>
      </c>
      <c r="I47" s="32"/>
      <c r="J47" s="20"/>
    </row>
    <row r="48" spans="1:10" s="21" customFormat="1" ht="19" x14ac:dyDescent="0.25">
      <c r="A48" s="71" t="str">
        <f>IF(F48&lt;&gt;"",(LARGE(A$7:A47,1)+1),"")</f>
        <v/>
      </c>
      <c r="B48" s="135"/>
      <c r="C48" s="132"/>
      <c r="D48" s="60"/>
      <c r="E48" s="48"/>
      <c r="F48" s="159"/>
      <c r="G48" s="48"/>
      <c r="H48" s="159" t="str">
        <f>IF(D48=0," ",(G48)*(Details!$C$4+Details!$C$6))</f>
        <v xml:space="preserve"> </v>
      </c>
      <c r="I48" s="32"/>
      <c r="J48" s="20"/>
    </row>
    <row r="49" spans="1:10" s="21" customFormat="1" ht="19" x14ac:dyDescent="0.25">
      <c r="A49" s="71"/>
      <c r="B49" s="135"/>
      <c r="C49" s="132"/>
      <c r="D49" s="60"/>
      <c r="E49" s="48"/>
      <c r="F49" s="159"/>
      <c r="G49" s="48"/>
      <c r="H49" s="159"/>
      <c r="I49" s="32"/>
      <c r="J49" s="20"/>
    </row>
    <row r="50" spans="1:10" s="21" customFormat="1" ht="19" x14ac:dyDescent="0.25">
      <c r="A50" s="71"/>
      <c r="B50" s="135"/>
      <c r="C50" s="132"/>
      <c r="D50" s="60"/>
      <c r="E50" s="48"/>
      <c r="F50" s="159"/>
      <c r="G50" s="48"/>
      <c r="H50" s="159"/>
      <c r="I50" s="32"/>
      <c r="J50" s="20"/>
    </row>
    <row r="51" spans="1:10" s="21" customFormat="1" ht="19" x14ac:dyDescent="0.25">
      <c r="A51" s="71" t="str">
        <f>IF(F51&lt;&gt;"",(LARGE(A$7:A50,1)+1),"")</f>
        <v/>
      </c>
      <c r="B51" s="135"/>
      <c r="C51" s="132"/>
      <c r="D51" s="60"/>
      <c r="E51" s="48"/>
      <c r="F51" s="159"/>
      <c r="G51" s="48"/>
      <c r="H51" s="159"/>
      <c r="I51" s="32"/>
      <c r="J51" s="20"/>
    </row>
    <row r="52" spans="1:10" s="21" customFormat="1" ht="19" x14ac:dyDescent="0.25">
      <c r="A52" s="71" t="str">
        <f>IF(F52&lt;&gt;"",(LARGE(A$7:A51,1)+1),"")</f>
        <v/>
      </c>
      <c r="B52" s="135"/>
      <c r="C52" s="132"/>
      <c r="D52" s="60"/>
      <c r="E52" s="48"/>
      <c r="F52" s="159"/>
      <c r="G52" s="48"/>
      <c r="H52" s="159" t="str">
        <f>IF(D52=0," ",(G52)*(Details!$C$4+Details!$C$6))</f>
        <v xml:space="preserve"> </v>
      </c>
      <c r="I52" s="32"/>
      <c r="J52" s="20"/>
    </row>
    <row r="53" spans="1:10" s="21" customFormat="1" ht="19" x14ac:dyDescent="0.25">
      <c r="A53" s="71" t="str">
        <f>IF(F53&lt;&gt;"",(LARGE(A$7:A52,1)+1),"")</f>
        <v/>
      </c>
      <c r="B53" s="135"/>
      <c r="C53" s="132"/>
      <c r="D53" s="60"/>
      <c r="E53" s="48"/>
      <c r="F53" s="159"/>
      <c r="G53" s="48"/>
      <c r="H53" s="159" t="str">
        <f>IF(D53=0," ",(G53)*(Details!$C$4+Details!$C$6))</f>
        <v xml:space="preserve"> </v>
      </c>
      <c r="I53" s="32"/>
      <c r="J53" s="20"/>
    </row>
    <row r="54" spans="1:10" s="21" customFormat="1" ht="19" x14ac:dyDescent="0.25">
      <c r="A54" s="71" t="str">
        <f>IF(F54&lt;&gt;"",(LARGE(A$7:A53,1)+1),"")</f>
        <v/>
      </c>
      <c r="B54" s="141"/>
      <c r="C54" s="132"/>
      <c r="D54" s="60"/>
      <c r="E54" s="48"/>
      <c r="F54" s="159"/>
      <c r="G54" s="48"/>
      <c r="H54" s="159" t="str">
        <f>IF(D54=0," ",(G54)*(Details!$C$4+Details!$C$6))</f>
        <v xml:space="preserve"> </v>
      </c>
      <c r="I54" s="32"/>
      <c r="J54" s="20"/>
    </row>
    <row r="55" spans="1:10" s="21" customFormat="1" ht="19" x14ac:dyDescent="0.25">
      <c r="A55" s="71" t="str">
        <f>IF(F55&lt;&gt;"",(LARGE(A$7:A54,1)+1),"")</f>
        <v/>
      </c>
      <c r="B55" s="135"/>
      <c r="C55" s="132"/>
      <c r="D55" s="60"/>
      <c r="E55" s="48"/>
      <c r="F55" s="159"/>
      <c r="G55" s="48"/>
      <c r="H55" s="159" t="str">
        <f>IF(D55=0," ",(G55)*(Details!$C$4+Details!$C$6))</f>
        <v xml:space="preserve"> </v>
      </c>
      <c r="I55" s="32"/>
      <c r="J55" s="20"/>
    </row>
    <row r="56" spans="1:10" s="21" customFormat="1" ht="19" x14ac:dyDescent="0.25">
      <c r="A56" s="71" t="str">
        <f>IF(F56&lt;&gt;"",(LARGE(A$7:A55,1)+1),"")</f>
        <v/>
      </c>
      <c r="B56" s="135"/>
      <c r="C56" s="132"/>
      <c r="D56" s="60"/>
      <c r="E56" s="48"/>
      <c r="F56" s="159"/>
      <c r="G56" s="48"/>
      <c r="H56" s="159" t="str">
        <f>IF(D56=0," ",(G56)*(Details!$C$4+Details!$C$6))</f>
        <v xml:space="preserve"> </v>
      </c>
      <c r="I56" s="32"/>
      <c r="J56" s="20"/>
    </row>
    <row r="57" spans="1:10" s="21" customFormat="1" ht="19" x14ac:dyDescent="0.25">
      <c r="A57" s="71" t="str">
        <f>IF(F57&lt;&gt;"",(LARGE(A$7:A56,1)+1),"")</f>
        <v/>
      </c>
      <c r="B57" s="135"/>
      <c r="C57" s="132"/>
      <c r="D57" s="60"/>
      <c r="E57" s="48"/>
      <c r="F57" s="159"/>
      <c r="G57" s="48"/>
      <c r="H57" s="159" t="str">
        <f>IF(D57=0," ",(G57)*(Details!$C$4+Details!$C$6))</f>
        <v xml:space="preserve"> </v>
      </c>
      <c r="I57" s="32"/>
      <c r="J57" s="20"/>
    </row>
    <row r="58" spans="1:10" s="21" customFormat="1" ht="19" x14ac:dyDescent="0.25">
      <c r="A58" s="71" t="str">
        <f>IF(F58&lt;&gt;"",(LARGE(A$7:A57,1)+1),"")</f>
        <v/>
      </c>
      <c r="B58" s="135"/>
      <c r="C58" s="132"/>
      <c r="D58" s="60"/>
      <c r="E58" s="48"/>
      <c r="F58" s="159"/>
      <c r="G58" s="48"/>
      <c r="H58" s="159" t="str">
        <f>IF(D58=0," ",(G58)*(Details!$C$4+Details!$C$6))</f>
        <v xml:space="preserve"> </v>
      </c>
      <c r="I58" s="32"/>
      <c r="J58" s="20"/>
    </row>
    <row r="59" spans="1:10" s="21" customFormat="1" ht="19" x14ac:dyDescent="0.25">
      <c r="A59" s="71" t="str">
        <f>IF(F59&lt;&gt;"",(LARGE(A$7:A58,1)+1),"")</f>
        <v/>
      </c>
      <c r="B59" s="135"/>
      <c r="C59" s="132"/>
      <c r="D59" s="60"/>
      <c r="E59" s="48"/>
      <c r="F59" s="159"/>
      <c r="G59" s="48"/>
      <c r="H59" s="159" t="str">
        <f>IF(D59=0," ",(G59)*(Details!$C$4+Details!$C$6))</f>
        <v xml:space="preserve"> </v>
      </c>
      <c r="I59" s="32"/>
      <c r="J59" s="20"/>
    </row>
    <row r="60" spans="1:10" s="21" customFormat="1" ht="19" x14ac:dyDescent="0.25">
      <c r="A60" s="71" t="str">
        <f>IF(F60&lt;&gt;"",(LARGE(A$7:A59,1)+1),"")</f>
        <v/>
      </c>
      <c r="B60" s="135"/>
      <c r="C60" s="132"/>
      <c r="D60" s="60"/>
      <c r="E60" s="48"/>
      <c r="F60" s="159"/>
      <c r="G60" s="48"/>
      <c r="H60" s="159" t="str">
        <f>IF(D60=0," ",(G60)*(Details!$C$4+Details!$C$6))</f>
        <v xml:space="preserve"> </v>
      </c>
      <c r="I60" s="32"/>
      <c r="J60" s="20"/>
    </row>
    <row r="61" spans="1:10" s="21" customFormat="1" ht="19" x14ac:dyDescent="0.25">
      <c r="A61" s="71" t="str">
        <f>IF(F61&lt;&gt;"",(LARGE(A$7:A60,1)+1),"")</f>
        <v/>
      </c>
      <c r="B61" s="135"/>
      <c r="C61" s="132"/>
      <c r="D61" s="60"/>
      <c r="E61" s="48"/>
      <c r="F61" s="159"/>
      <c r="G61" s="48"/>
      <c r="H61" s="159" t="str">
        <f>IF(D61=0," ",(G61)*(Details!$C$4+Details!$C$6))</f>
        <v xml:space="preserve"> </v>
      </c>
      <c r="I61" s="32"/>
      <c r="J61" s="20"/>
    </row>
    <row r="62" spans="1:10" s="21" customFormat="1" ht="19" x14ac:dyDescent="0.25">
      <c r="A62" s="71" t="str">
        <f>IF(F62&lt;&gt;"",(LARGE(A$7:A61,1)+1),"")</f>
        <v/>
      </c>
      <c r="B62" s="135"/>
      <c r="C62" s="132"/>
      <c r="D62" s="60"/>
      <c r="E62" s="48"/>
      <c r="F62" s="159"/>
      <c r="G62" s="48"/>
      <c r="H62" s="159" t="str">
        <f>IF(D62=0," ",(G62)*(Details!$C$4+Details!$C$6))</f>
        <v xml:space="preserve"> </v>
      </c>
      <c r="I62" s="32"/>
      <c r="J62" s="20"/>
    </row>
    <row r="63" spans="1:10" s="21" customFormat="1" ht="19" x14ac:dyDescent="0.25">
      <c r="A63" s="71" t="str">
        <f>IF(F63&lt;&gt;"",(LARGE(A$7:A62,1)+1),"")</f>
        <v/>
      </c>
      <c r="B63" s="135"/>
      <c r="C63" s="132"/>
      <c r="D63" s="60"/>
      <c r="E63" s="48"/>
      <c r="F63" s="159"/>
      <c r="G63" s="48"/>
      <c r="H63" s="159" t="str">
        <f>IF(D63=0," ",(G63)*(Details!$C$4+Details!$C$6))</f>
        <v xml:space="preserve"> </v>
      </c>
      <c r="I63" s="32"/>
      <c r="J63" s="20"/>
    </row>
    <row r="64" spans="1:10" s="21" customFormat="1" ht="19" x14ac:dyDescent="0.25">
      <c r="A64" s="71" t="str">
        <f>IF(F64&lt;&gt;"",(LARGE(A$7:A63,1)+1),"")</f>
        <v/>
      </c>
      <c r="B64" s="135"/>
      <c r="C64" s="132"/>
      <c r="D64" s="60"/>
      <c r="E64" s="48"/>
      <c r="F64" s="159"/>
      <c r="G64" s="48"/>
      <c r="H64" s="159" t="str">
        <f>IF(D64=0," ",(G64)*(Details!$C$4))</f>
        <v xml:space="preserve"> </v>
      </c>
      <c r="I64" s="32"/>
      <c r="J64" s="20"/>
    </row>
    <row r="65" spans="1:12" s="21" customFormat="1" ht="20" thickBot="1" x14ac:dyDescent="0.3">
      <c r="A65" s="71" t="str">
        <f>IF(D65=0," ",(LARGE(A$9:A64,1)+1))</f>
        <v xml:space="preserve"> </v>
      </c>
      <c r="B65" s="142"/>
      <c r="C65" s="52"/>
      <c r="D65" s="60"/>
      <c r="E65" s="62" t="s">
        <v>63</v>
      </c>
      <c r="F65" s="160">
        <f>SUM(F1:F64)</f>
        <v>17370</v>
      </c>
      <c r="G65" s="48"/>
      <c r="H65" s="159"/>
      <c r="I65" s="32"/>
      <c r="J65" s="20"/>
    </row>
    <row r="66" spans="1:12" s="21" customFormat="1" ht="21" thickTop="1" thickBot="1" x14ac:dyDescent="0.3">
      <c r="A66" s="50"/>
      <c r="B66" s="144"/>
      <c r="C66" s="145"/>
      <c r="D66" s="63"/>
      <c r="E66" s="65"/>
      <c r="F66" s="161"/>
      <c r="G66" s="65"/>
      <c r="H66" s="67"/>
      <c r="I66" s="32"/>
      <c r="J66" s="20"/>
    </row>
    <row r="67" spans="1:12" s="21" customFormat="1" x14ac:dyDescent="0.2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2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2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2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2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disablePrompts="1" count="1">
    <dataValidation type="list" allowBlank="1" showInputMessage="1" showErrorMessage="1" sqref="I5:J5" xr:uid="{00000000-0002-0000-05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2"/>
  <dimension ref="A1:R45"/>
  <sheetViews>
    <sheetView topLeftCell="A13" zoomScale="85" zoomScaleNormal="85" workbookViewId="0">
      <selection activeCell="H8" sqref="H8"/>
    </sheetView>
  </sheetViews>
  <sheetFormatPr baseColWidth="10" defaultColWidth="9.1640625" defaultRowHeight="15" x14ac:dyDescent="0.2"/>
  <cols>
    <col min="1" max="1" width="9.1640625" style="196"/>
    <col min="2" max="2" width="45.6640625" style="196" customWidth="1"/>
    <col min="3" max="3" width="19.33203125" style="196" customWidth="1"/>
    <col min="4" max="4" width="13.33203125" style="196" customWidth="1"/>
    <col min="5" max="5" width="11.5" style="196" customWidth="1"/>
    <col min="6" max="7" width="9.1640625" style="196"/>
    <col min="8" max="9" width="9.1640625" style="236"/>
    <col min="10" max="13" width="19.1640625" style="236" customWidth="1"/>
    <col min="14" max="18" width="9.1640625" style="236"/>
    <col min="19" max="16384" width="9.1640625" style="196"/>
  </cols>
  <sheetData>
    <row r="1" spans="2:16" ht="16" thickBot="1" x14ac:dyDescent="0.25"/>
    <row r="2" spans="2:16" ht="22" thickBot="1" x14ac:dyDescent="0.3">
      <c r="B2" s="197" t="s">
        <v>46</v>
      </c>
      <c r="C2" s="198"/>
      <c r="D2" s="198"/>
      <c r="E2" s="198"/>
      <c r="F2" s="199"/>
      <c r="I2" s="245"/>
      <c r="J2" s="246" t="s">
        <v>124</v>
      </c>
      <c r="K2" s="246">
        <f>+Summary!D16</f>
        <v>60390.682499999995</v>
      </c>
      <c r="L2" s="244"/>
      <c r="M2" s="243"/>
      <c r="N2" s="243"/>
      <c r="O2" s="237"/>
      <c r="P2" s="237"/>
    </row>
    <row r="3" spans="2:16" ht="19" x14ac:dyDescent="0.25">
      <c r="B3" s="200"/>
      <c r="C3" s="201"/>
      <c r="D3" s="202"/>
      <c r="E3" s="203"/>
      <c r="F3" s="204"/>
      <c r="I3" s="245"/>
      <c r="J3" s="246"/>
      <c r="K3" s="247"/>
      <c r="L3" s="248"/>
      <c r="M3" s="242"/>
      <c r="N3" s="242"/>
      <c r="O3" s="237"/>
      <c r="P3" s="237"/>
    </row>
    <row r="4" spans="2:16" ht="19" x14ac:dyDescent="0.25">
      <c r="B4" s="205" t="s">
        <v>125</v>
      </c>
      <c r="C4" s="206">
        <v>0.1</v>
      </c>
      <c r="D4" s="207">
        <f>+C4+1</f>
        <v>1.1000000000000001</v>
      </c>
      <c r="E4" s="208"/>
      <c r="F4" s="209"/>
      <c r="I4" s="245"/>
      <c r="J4" s="246" t="s">
        <v>108</v>
      </c>
      <c r="K4" s="246">
        <f>+(Summary!F12+Summary!G12)*1.1</f>
        <v>47322.750750000007</v>
      </c>
      <c r="L4" s="248"/>
      <c r="M4" s="242"/>
      <c r="N4" s="242"/>
      <c r="O4" s="237"/>
      <c r="P4" s="237"/>
    </row>
    <row r="5" spans="2:16" ht="16" x14ac:dyDescent="0.2">
      <c r="B5" s="210"/>
      <c r="C5" s="211"/>
      <c r="D5" s="212"/>
      <c r="E5" s="213"/>
      <c r="F5" s="204"/>
      <c r="I5" s="241"/>
      <c r="J5" s="249"/>
      <c r="K5" s="249"/>
      <c r="L5" s="250"/>
      <c r="M5" s="251">
        <f>CEILING((K4/K27),4)</f>
        <v>12</v>
      </c>
      <c r="N5" s="252" t="s">
        <v>85</v>
      </c>
      <c r="O5" s="253"/>
      <c r="P5" s="238"/>
    </row>
    <row r="6" spans="2:16" ht="16" x14ac:dyDescent="0.2">
      <c r="B6" s="205" t="s">
        <v>126</v>
      </c>
      <c r="C6" s="206">
        <v>0.1</v>
      </c>
      <c r="D6" s="207">
        <f>+C6+1</f>
        <v>1.1000000000000001</v>
      </c>
      <c r="E6" s="208"/>
      <c r="F6" s="209"/>
      <c r="I6" s="241"/>
      <c r="J6" s="252"/>
      <c r="K6" s="252"/>
      <c r="L6" s="250"/>
      <c r="M6" s="252"/>
      <c r="N6" s="252"/>
      <c r="O6" s="253"/>
      <c r="P6" s="238"/>
    </row>
    <row r="7" spans="2:16" ht="16" x14ac:dyDescent="0.2">
      <c r="B7" s="210"/>
      <c r="C7" s="211"/>
      <c r="D7" s="212"/>
      <c r="E7" s="215"/>
      <c r="F7" s="204"/>
      <c r="I7" s="241"/>
      <c r="J7" s="252" t="s">
        <v>47</v>
      </c>
      <c r="K7" s="252">
        <v>0</v>
      </c>
      <c r="L7" s="250" t="str">
        <f>IF(AND($K$4&gt;=K7,$K$4&lt;=K8),N7,O7)</f>
        <v>Yes</v>
      </c>
      <c r="M7" s="252">
        <v>5000</v>
      </c>
      <c r="N7" s="252" t="s">
        <v>48</v>
      </c>
      <c r="O7" s="253" t="s">
        <v>58</v>
      </c>
      <c r="P7" s="238"/>
    </row>
    <row r="8" spans="2:16" ht="17" thickBot="1" x14ac:dyDescent="0.25">
      <c r="B8" s="216" t="s">
        <v>90</v>
      </c>
      <c r="C8" s="217">
        <v>0.05</v>
      </c>
      <c r="D8" s="218">
        <f>+C8+1</f>
        <v>1.05</v>
      </c>
      <c r="E8" s="219"/>
      <c r="F8" s="220"/>
      <c r="I8" s="241"/>
      <c r="J8" s="252"/>
      <c r="K8" s="252">
        <v>50000</v>
      </c>
      <c r="L8" s="250"/>
      <c r="M8" s="252"/>
      <c r="N8" s="252"/>
      <c r="O8" s="253"/>
      <c r="P8" s="238"/>
    </row>
    <row r="9" spans="2:16" ht="16" x14ac:dyDescent="0.2">
      <c r="I9" s="241"/>
      <c r="J9" s="252" t="s">
        <v>49</v>
      </c>
      <c r="K9" s="252">
        <f>K8</f>
        <v>50000</v>
      </c>
      <c r="L9" s="250" t="str">
        <f>IF(AND($K$4&gt;=K9,$K$4&lt;=K10),N9,O9)</f>
        <v>No</v>
      </c>
      <c r="M9" s="252">
        <v>9000</v>
      </c>
      <c r="N9" s="252" t="s">
        <v>48</v>
      </c>
      <c r="O9" s="253" t="s">
        <v>58</v>
      </c>
      <c r="P9" s="238"/>
    </row>
    <row r="10" spans="2:16" ht="16" x14ac:dyDescent="0.2">
      <c r="I10" s="241"/>
      <c r="J10" s="252"/>
      <c r="K10" s="252">
        <v>150000</v>
      </c>
      <c r="L10" s="250"/>
      <c r="M10" s="252"/>
      <c r="N10" s="251"/>
      <c r="O10" s="253"/>
      <c r="P10" s="238"/>
    </row>
    <row r="11" spans="2:16" ht="16" x14ac:dyDescent="0.2">
      <c r="I11" s="241"/>
      <c r="J11" s="252" t="s">
        <v>50</v>
      </c>
      <c r="K11" s="252">
        <f>K10</f>
        <v>150000</v>
      </c>
      <c r="L11" s="250" t="str">
        <f>IF(AND($K$4&gt;=K11,$K$4&lt;=K12),N11,O11)</f>
        <v>No</v>
      </c>
      <c r="M11" s="252">
        <v>10000</v>
      </c>
      <c r="N11" s="252" t="s">
        <v>48</v>
      </c>
      <c r="O11" s="253" t="s">
        <v>58</v>
      </c>
      <c r="P11" s="238"/>
    </row>
    <row r="12" spans="2:16" ht="16" x14ac:dyDescent="0.2">
      <c r="I12" s="241"/>
      <c r="J12" s="252"/>
      <c r="K12" s="252">
        <v>350000</v>
      </c>
      <c r="L12" s="250"/>
      <c r="M12" s="252"/>
      <c r="N12" s="251"/>
      <c r="O12" s="253"/>
      <c r="P12" s="238"/>
    </row>
    <row r="13" spans="2:16" ht="17" thickBot="1" x14ac:dyDescent="0.25">
      <c r="I13" s="241"/>
      <c r="J13" s="252" t="s">
        <v>51</v>
      </c>
      <c r="K13" s="252">
        <f>K12</f>
        <v>350000</v>
      </c>
      <c r="L13" s="250" t="str">
        <f>IF(AND($K$4&gt;=K13,$K$4&lt;=K14),N13,O13)</f>
        <v>No</v>
      </c>
      <c r="M13" s="252">
        <v>12500</v>
      </c>
      <c r="N13" s="252" t="s">
        <v>48</v>
      </c>
      <c r="O13" s="253" t="s">
        <v>58</v>
      </c>
      <c r="P13" s="238"/>
    </row>
    <row r="14" spans="2:16" ht="17" thickBot="1" x14ac:dyDescent="0.25">
      <c r="B14" s="221" t="s">
        <v>127</v>
      </c>
      <c r="C14" s="222" t="s">
        <v>130</v>
      </c>
      <c r="I14" s="241"/>
      <c r="J14" s="252"/>
      <c r="K14" s="252">
        <v>500000</v>
      </c>
      <c r="L14" s="250"/>
      <c r="M14" s="252"/>
      <c r="N14" s="251"/>
      <c r="O14" s="253"/>
      <c r="P14" s="238"/>
    </row>
    <row r="15" spans="2:16" ht="19" x14ac:dyDescent="0.25">
      <c r="B15" s="223" t="s">
        <v>129</v>
      </c>
      <c r="C15" s="224">
        <v>0</v>
      </c>
      <c r="I15" s="241"/>
      <c r="J15" s="252" t="s">
        <v>52</v>
      </c>
      <c r="K15" s="252">
        <f>K14</f>
        <v>500000</v>
      </c>
      <c r="L15" s="250" t="str">
        <f>IF(AND($K$4&gt;=K15,$K$4&lt;=K16),N15,O15)</f>
        <v>No</v>
      </c>
      <c r="M15" s="252">
        <v>14000</v>
      </c>
      <c r="N15" s="252" t="s">
        <v>48</v>
      </c>
      <c r="O15" s="253" t="s">
        <v>58</v>
      </c>
      <c r="P15" s="238"/>
    </row>
    <row r="16" spans="2:16" ht="19" x14ac:dyDescent="0.25">
      <c r="B16" s="225" t="s">
        <v>110</v>
      </c>
      <c r="C16" s="226">
        <v>300</v>
      </c>
      <c r="I16" s="241"/>
      <c r="J16" s="252"/>
      <c r="K16" s="252">
        <v>750000</v>
      </c>
      <c r="L16" s="250"/>
      <c r="M16" s="252"/>
      <c r="N16" s="251"/>
      <c r="O16" s="253"/>
      <c r="P16" s="238"/>
    </row>
    <row r="17" spans="1:16" ht="19" x14ac:dyDescent="0.25">
      <c r="B17" s="223" t="s">
        <v>111</v>
      </c>
      <c r="C17" s="224">
        <v>0</v>
      </c>
      <c r="I17" s="241"/>
      <c r="J17" s="252" t="s">
        <v>53</v>
      </c>
      <c r="K17" s="252">
        <v>750000</v>
      </c>
      <c r="L17" s="250" t="str">
        <f>IF(AND($K$4&gt;=K17,$K$4&lt;=K18),N17,O17)</f>
        <v>No</v>
      </c>
      <c r="M17" s="252">
        <v>15500</v>
      </c>
      <c r="N17" s="252" t="s">
        <v>48</v>
      </c>
      <c r="O17" s="253" t="s">
        <v>58</v>
      </c>
      <c r="P17" s="238"/>
    </row>
    <row r="18" spans="1:16" ht="19" x14ac:dyDescent="0.25">
      <c r="B18" s="227" t="s">
        <v>112</v>
      </c>
      <c r="C18" s="226">
        <v>300</v>
      </c>
      <c r="I18" s="241"/>
      <c r="J18" s="252"/>
      <c r="K18" s="252">
        <v>1000000</v>
      </c>
      <c r="L18" s="250"/>
      <c r="M18" s="252"/>
      <c r="N18" s="251"/>
      <c r="O18" s="253"/>
      <c r="P18" s="238"/>
    </row>
    <row r="19" spans="1:16" ht="19" x14ac:dyDescent="0.25">
      <c r="B19" s="223" t="s">
        <v>113</v>
      </c>
      <c r="C19" s="224">
        <v>300</v>
      </c>
      <c r="I19" s="241"/>
      <c r="J19" s="252" t="s">
        <v>54</v>
      </c>
      <c r="K19" s="252">
        <f>K18</f>
        <v>1000000</v>
      </c>
      <c r="L19" s="250" t="str">
        <f>IF(AND($K$4&gt;=K19,$K$4&lt;=K20),N19,O19)</f>
        <v>No</v>
      </c>
      <c r="M19" s="252">
        <v>16750</v>
      </c>
      <c r="N19" s="252" t="s">
        <v>48</v>
      </c>
      <c r="O19" s="253" t="s">
        <v>58</v>
      </c>
      <c r="P19" s="238"/>
    </row>
    <row r="20" spans="1:16" ht="19" x14ac:dyDescent="0.25">
      <c r="B20" s="227" t="s">
        <v>114</v>
      </c>
      <c r="C20" s="226">
        <v>0</v>
      </c>
      <c r="I20" s="241"/>
      <c r="J20" s="252"/>
      <c r="K20" s="252">
        <v>1250000</v>
      </c>
      <c r="L20" s="250"/>
      <c r="M20" s="252"/>
      <c r="N20" s="251"/>
      <c r="O20" s="253"/>
      <c r="P20" s="238"/>
    </row>
    <row r="21" spans="1:16" ht="19" x14ac:dyDescent="0.25">
      <c r="B21" s="223" t="s">
        <v>123</v>
      </c>
      <c r="C21" s="224">
        <v>250</v>
      </c>
      <c r="I21" s="241"/>
      <c r="J21" s="252" t="s">
        <v>55</v>
      </c>
      <c r="K21" s="252">
        <f>K20</f>
        <v>1250000</v>
      </c>
      <c r="L21" s="250" t="str">
        <f>IF(AND($K$4&gt;=K21,$K$4&lt;=K22),N21,O21)</f>
        <v>No</v>
      </c>
      <c r="M21" s="252">
        <v>19000</v>
      </c>
      <c r="N21" s="252" t="s">
        <v>48</v>
      </c>
      <c r="O21" s="253" t="s">
        <v>58</v>
      </c>
      <c r="P21" s="238"/>
    </row>
    <row r="22" spans="1:16" ht="19" x14ac:dyDescent="0.25">
      <c r="B22" s="227" t="s">
        <v>115</v>
      </c>
      <c r="C22" s="226">
        <v>200</v>
      </c>
      <c r="I22" s="241"/>
      <c r="J22" s="252"/>
      <c r="K22" s="252">
        <v>1500000</v>
      </c>
      <c r="L22" s="250"/>
      <c r="M22" s="252"/>
      <c r="N22" s="251"/>
      <c r="O22" s="253"/>
      <c r="P22" s="238"/>
    </row>
    <row r="23" spans="1:16" ht="19" x14ac:dyDescent="0.25">
      <c r="B23" s="223" t="s">
        <v>116</v>
      </c>
      <c r="C23" s="224">
        <v>0</v>
      </c>
      <c r="I23" s="241"/>
      <c r="J23" s="252" t="s">
        <v>56</v>
      </c>
      <c r="K23" s="252">
        <f>K22</f>
        <v>1500000</v>
      </c>
      <c r="L23" s="250" t="str">
        <f>IF(AND($K$4&gt;=K23,$K$4&lt;=K24),N23,O23)</f>
        <v>No</v>
      </c>
      <c r="M23" s="252">
        <v>20500</v>
      </c>
      <c r="N23" s="252" t="s">
        <v>48</v>
      </c>
      <c r="O23" s="253" t="s">
        <v>58</v>
      </c>
      <c r="P23" s="238"/>
    </row>
    <row r="24" spans="1:16" ht="19" x14ac:dyDescent="0.25">
      <c r="B24" s="227" t="s">
        <v>117</v>
      </c>
      <c r="C24" s="226">
        <v>0</v>
      </c>
      <c r="I24" s="241"/>
      <c r="J24" s="252"/>
      <c r="K24" s="252">
        <v>2000000</v>
      </c>
      <c r="L24" s="250"/>
      <c r="M24" s="251"/>
      <c r="N24" s="251"/>
      <c r="O24" s="253"/>
      <c r="P24" s="238"/>
    </row>
    <row r="25" spans="1:16" ht="20" thickBot="1" x14ac:dyDescent="0.3">
      <c r="B25" s="228" t="s">
        <v>118</v>
      </c>
      <c r="C25" s="229">
        <v>0</v>
      </c>
      <c r="I25" s="241"/>
      <c r="J25" s="252" t="s">
        <v>57</v>
      </c>
      <c r="K25" s="252">
        <f>K24</f>
        <v>2000000</v>
      </c>
      <c r="L25" s="250" t="str">
        <f>IF(AND($K$4&gt;=K25,$K$4&lt;=K26),N25,O25)</f>
        <v>No</v>
      </c>
      <c r="M25" s="252">
        <v>27500</v>
      </c>
      <c r="N25" s="252" t="s">
        <v>48</v>
      </c>
      <c r="O25" s="253" t="s">
        <v>58</v>
      </c>
      <c r="P25" s="238"/>
    </row>
    <row r="26" spans="1:16" ht="16" x14ac:dyDescent="0.2">
      <c r="B26" s="230"/>
      <c r="C26" s="231"/>
      <c r="D26" s="231"/>
      <c r="E26" s="231"/>
      <c r="I26" s="241"/>
      <c r="J26" s="252"/>
      <c r="K26" s="252">
        <v>500000000</v>
      </c>
      <c r="L26" s="250"/>
      <c r="M26" s="251"/>
      <c r="N26" s="251"/>
      <c r="O26" s="253"/>
      <c r="P26" s="238"/>
    </row>
    <row r="27" spans="1:16" ht="16" x14ac:dyDescent="0.2">
      <c r="A27" s="232"/>
      <c r="B27" s="233"/>
      <c r="C27" s="231"/>
      <c r="D27" s="231"/>
      <c r="E27" s="214"/>
      <c r="I27" s="241"/>
      <c r="J27" s="252" t="s">
        <v>92</v>
      </c>
      <c r="K27" s="252">
        <f>IF(L7="Yes",M7)+IF(L9="Yes",M9)+IF(L11="Yes",M11)+IF(L13="Yes",M13)+IF(L15="Yes",M15)+IF(L17="Yes",M17)+IF(L19="Yes",M19)+IF(L21="Yes",M21)+IF(L23="Yes",M23)</f>
        <v>5000</v>
      </c>
      <c r="L27" s="254"/>
      <c r="M27" s="251"/>
      <c r="N27" s="251"/>
      <c r="O27" s="253"/>
      <c r="P27" s="238"/>
    </row>
    <row r="28" spans="1:16" ht="16" x14ac:dyDescent="0.2">
      <c r="A28" s="232"/>
      <c r="B28" s="233"/>
      <c r="C28" s="231"/>
      <c r="D28" s="231"/>
      <c r="E28" s="214"/>
      <c r="I28" s="241"/>
      <c r="J28" s="252"/>
      <c r="K28" s="251"/>
      <c r="L28" s="254"/>
      <c r="M28" s="251"/>
      <c r="N28" s="251"/>
      <c r="O28" s="253"/>
      <c r="P28" s="238"/>
    </row>
    <row r="29" spans="1:16" ht="16" x14ac:dyDescent="0.2">
      <c r="A29" s="234"/>
      <c r="B29" s="233"/>
      <c r="C29" s="231"/>
      <c r="D29" s="231"/>
      <c r="E29" s="214"/>
      <c r="J29" s="249"/>
      <c r="K29" s="249"/>
      <c r="L29" s="249"/>
      <c r="M29" s="255" t="s">
        <v>109</v>
      </c>
      <c r="N29" s="249"/>
      <c r="O29" s="249"/>
    </row>
    <row r="30" spans="1:16" ht="16" x14ac:dyDescent="0.2">
      <c r="A30" s="235"/>
      <c r="B30" s="233"/>
      <c r="C30" s="231"/>
      <c r="D30" s="231"/>
      <c r="E30" s="214"/>
      <c r="J30" s="249"/>
      <c r="K30" s="249"/>
      <c r="L30" s="249"/>
      <c r="M30" s="256">
        <f t="shared" ref="M30:M35" si="0">+C15/250+IF(C15=0,1)</f>
        <v>1</v>
      </c>
      <c r="N30" s="249"/>
      <c r="O30" s="249"/>
    </row>
    <row r="31" spans="1:16" ht="16" x14ac:dyDescent="0.2">
      <c r="A31" s="235"/>
      <c r="B31" s="233"/>
      <c r="C31" s="231"/>
      <c r="D31" s="231"/>
      <c r="E31" s="214"/>
      <c r="J31" s="249"/>
      <c r="K31" s="249"/>
      <c r="L31" s="249"/>
      <c r="M31" s="256">
        <f t="shared" si="0"/>
        <v>1.2</v>
      </c>
      <c r="N31" s="249"/>
      <c r="O31" s="249"/>
    </row>
    <row r="32" spans="1:16" ht="16" x14ac:dyDescent="0.2">
      <c r="A32" s="234"/>
      <c r="B32" s="233"/>
      <c r="C32" s="231"/>
      <c r="D32" s="231"/>
      <c r="E32" s="214"/>
      <c r="J32" s="249"/>
      <c r="K32" s="249"/>
      <c r="L32" s="249"/>
      <c r="M32" s="256">
        <f t="shared" si="0"/>
        <v>1</v>
      </c>
      <c r="N32" s="249"/>
      <c r="O32" s="249"/>
    </row>
    <row r="33" spans="1:15" ht="16" x14ac:dyDescent="0.2">
      <c r="A33" s="235"/>
      <c r="B33" s="233"/>
      <c r="C33" s="231"/>
      <c r="D33" s="231"/>
      <c r="E33" s="214"/>
      <c r="J33" s="249"/>
      <c r="K33" s="249"/>
      <c r="L33" s="249"/>
      <c r="M33" s="256">
        <f t="shared" si="0"/>
        <v>1.2</v>
      </c>
      <c r="N33" s="249"/>
      <c r="O33" s="249"/>
    </row>
    <row r="34" spans="1:15" ht="16" x14ac:dyDescent="0.2">
      <c r="A34" s="235"/>
      <c r="B34" s="233"/>
      <c r="C34" s="231"/>
      <c r="D34" s="231"/>
      <c r="E34" s="214"/>
      <c r="J34" s="249"/>
      <c r="K34" s="249"/>
      <c r="L34" s="249"/>
      <c r="M34" s="256">
        <f t="shared" si="0"/>
        <v>1.2</v>
      </c>
      <c r="N34" s="249"/>
      <c r="O34" s="249"/>
    </row>
    <row r="35" spans="1:15" ht="16" x14ac:dyDescent="0.2">
      <c r="A35" s="234"/>
      <c r="B35" s="233"/>
      <c r="C35" s="231"/>
      <c r="D35" s="231"/>
      <c r="E35" s="214"/>
      <c r="J35" s="249"/>
      <c r="K35" s="249"/>
      <c r="L35" s="249"/>
      <c r="M35" s="256">
        <f t="shared" si="0"/>
        <v>1</v>
      </c>
      <c r="N35" s="249"/>
      <c r="O35" s="249"/>
    </row>
    <row r="36" spans="1:15" ht="16" x14ac:dyDescent="0.2">
      <c r="A36" s="235"/>
      <c r="B36" s="233"/>
      <c r="C36" s="231"/>
      <c r="D36" s="231"/>
      <c r="E36" s="214"/>
      <c r="J36" s="249"/>
      <c r="K36" s="249"/>
      <c r="L36" s="249"/>
      <c r="M36" s="256">
        <f>+C21/220+IF(C21=0,1)</f>
        <v>1.1363636363636365</v>
      </c>
      <c r="N36" s="249"/>
      <c r="O36" s="249"/>
    </row>
    <row r="37" spans="1:15" ht="16" x14ac:dyDescent="0.2">
      <c r="A37" s="235"/>
      <c r="B37" s="233"/>
      <c r="C37" s="231"/>
      <c r="D37" s="231"/>
      <c r="E37" s="214"/>
      <c r="J37" s="249"/>
      <c r="K37" s="249"/>
      <c r="L37" s="249"/>
      <c r="M37" s="256">
        <f>+C22/150+IF(C22=0,1)</f>
        <v>1.3333333333333333</v>
      </c>
      <c r="N37" s="249"/>
      <c r="O37" s="249"/>
    </row>
    <row r="38" spans="1:15" ht="16" x14ac:dyDescent="0.2">
      <c r="A38" s="234"/>
      <c r="B38" s="233"/>
      <c r="C38" s="231"/>
      <c r="D38" s="231"/>
      <c r="E38" s="214"/>
      <c r="J38" s="249"/>
      <c r="K38" s="249"/>
      <c r="L38" s="249"/>
      <c r="M38" s="256">
        <f>+C23/220+IF(C23=0,1)</f>
        <v>1</v>
      </c>
      <c r="N38" s="249"/>
      <c r="O38" s="249"/>
    </row>
    <row r="39" spans="1:15" ht="16" x14ac:dyDescent="0.2">
      <c r="A39" s="235"/>
      <c r="B39" s="233"/>
      <c r="C39" s="231"/>
      <c r="D39" s="231"/>
      <c r="E39" s="214"/>
      <c r="J39" s="249"/>
      <c r="K39" s="249"/>
      <c r="L39" s="249"/>
      <c r="M39" s="256">
        <f>+C24/400+IF(C24=0,1)</f>
        <v>1</v>
      </c>
      <c r="N39" s="249"/>
      <c r="O39" s="249"/>
    </row>
    <row r="40" spans="1:15" ht="16" x14ac:dyDescent="0.2">
      <c r="A40" s="235"/>
      <c r="B40" s="233"/>
      <c r="C40" s="231"/>
      <c r="D40" s="231"/>
      <c r="E40" s="214"/>
      <c r="J40" s="249"/>
      <c r="K40" s="249"/>
      <c r="L40" s="249"/>
      <c r="M40" s="256">
        <f>+C25/400+IF(C25=0,1)</f>
        <v>1</v>
      </c>
      <c r="N40" s="249"/>
      <c r="O40" s="249"/>
    </row>
    <row r="41" spans="1:15" ht="16" x14ac:dyDescent="0.2">
      <c r="A41" s="234"/>
      <c r="B41" s="233"/>
      <c r="C41" s="231"/>
      <c r="D41" s="231"/>
      <c r="E41" s="214"/>
      <c r="J41" s="257"/>
      <c r="K41" s="257"/>
      <c r="L41" s="257"/>
      <c r="M41" s="257"/>
      <c r="N41" s="257"/>
      <c r="O41" s="257"/>
    </row>
    <row r="42" spans="1:15" x14ac:dyDescent="0.2">
      <c r="J42" s="257"/>
      <c r="K42" s="257"/>
      <c r="L42" s="257"/>
      <c r="M42" s="257"/>
      <c r="N42" s="257"/>
      <c r="O42" s="257"/>
    </row>
    <row r="44" spans="1:15" ht="16" x14ac:dyDescent="0.2">
      <c r="J44" s="235"/>
      <c r="K44" s="239"/>
      <c r="L44" s="240"/>
      <c r="M44" s="240"/>
      <c r="N44" s="241"/>
    </row>
    <row r="45" spans="1:15" ht="16" x14ac:dyDescent="0.2">
      <c r="J45" s="235"/>
      <c r="K45" s="239"/>
      <c r="L45" s="240"/>
      <c r="M45" s="240"/>
      <c r="N45" s="241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EC8903-EE92-4E41-9E7A-740C19B488F3}">
  <ds:schemaRefs>
    <ds:schemaRef ds:uri="http://www.w3.org/2001/XMLSchema"/>
  </ds:schemaRefs>
</ds:datastoreItem>
</file>

<file path=customXml/itemProps4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Substructure</vt:lpstr>
      <vt:lpstr>Preliminaries</vt:lpstr>
      <vt:lpstr>Details</vt:lpstr>
      <vt:lpstr>Cover!Print_Area</vt:lpstr>
      <vt:lpstr>Preliminaries!Print_Area</vt:lpstr>
      <vt:lpstr>Substructure!Print_Area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Microsoft Office User</cp:lastModifiedBy>
  <cp:lastPrinted>2025-07-27T18:26:52Z</cp:lastPrinted>
  <dcterms:created xsi:type="dcterms:W3CDTF">2009-09-18T08:39:19Z</dcterms:created>
  <dcterms:modified xsi:type="dcterms:W3CDTF">2025-09-29T14:01:48Z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{6DEC8903-EE92-4E41-9E7A-740C19B488F3}</vt:lpwstr>
  </property>
</Properties>
</file>