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OMET\Downloads\"/>
    </mc:Choice>
  </mc:AlternateContent>
  <xr:revisionPtr revIDLastSave="0" documentId="8_{426FA8F3-5050-4616-A21D-BA79A67DAAD8}" xr6:coauthVersionLast="36" xr6:coauthVersionMax="36" xr10:uidLastSave="{00000000-0000-0000-0000-000000000000}"/>
  <bookViews>
    <workbookView xWindow="0" yWindow="0" windowWidth="19200" windowHeight="6810" tabRatio="868" firstSheet="7" activeTab="20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Demolition" sheetId="79" r:id="rId5"/>
    <sheet name="Substructure" sheetId="100" r:id="rId6"/>
    <sheet name="Superstructure" sheetId="101" r:id="rId7"/>
    <sheet name="Structural Steelwork" sheetId="107" r:id="rId8"/>
    <sheet name="Roof" sheetId="105" r:id="rId9"/>
    <sheet name="Windows, Doors &amp; Rooflights" sheetId="110" r:id="rId10"/>
    <sheet name="Partitions" sheetId="77" r:id="rId11"/>
    <sheet name="Joinery" sheetId="90" r:id="rId12"/>
    <sheet name="Decoration" sheetId="91" r:id="rId13"/>
    <sheet name="Floor finishes" sheetId="92" r:id="rId14"/>
    <sheet name="Wall finishes" sheetId="106" r:id="rId15"/>
    <sheet name="Kitchens &amp; Bathrooms" sheetId="82" r:id="rId16"/>
    <sheet name="Electrical" sheetId="93" r:id="rId17"/>
    <sheet name="Mechanical &amp; Plumbing" sheetId="78" r:id="rId18"/>
    <sheet name="Externals" sheetId="104" r:id="rId19"/>
    <sheet name="Preliminaries" sheetId="97" r:id="rId20"/>
    <sheet name="Details" sheetId="111" r:id="rId21"/>
  </sheets>
  <externalReferences>
    <externalReference r:id="rId22"/>
  </externalReferences>
  <definedNames>
    <definedName name="_xlnm._FilterDatabase" localSheetId="12" hidden="1">Decoration!$A$11:$N$23</definedName>
    <definedName name="_xlnm._FilterDatabase" localSheetId="16" hidden="1">Electrical!$A$7:$N$90</definedName>
    <definedName name="_xlnm._FilterDatabase" localSheetId="13" hidden="1">'Floor finishes'!$A$11:$N$22</definedName>
    <definedName name="_xlnm._FilterDatabase" localSheetId="11" hidden="1">Joinery!$A$7:$N$35</definedName>
    <definedName name="_xlnm._FilterDatabase" localSheetId="15" hidden="1">'Kitchens &amp; Bathrooms'!$A$11:$N$55</definedName>
    <definedName name="_xlnm._FilterDatabase" localSheetId="17" hidden="1">'Mechanical &amp; Plumbing'!$A$11:$N$88</definedName>
    <definedName name="_xlnm._FilterDatabase" localSheetId="10" hidden="1">Partitions!$A$7:$N$34</definedName>
    <definedName name="_xlnm._FilterDatabase" localSheetId="8" hidden="1">Roof!$A$11:$N$44</definedName>
    <definedName name="_xlnm._FilterDatabase" localSheetId="7" hidden="1">'Structural Steelwork'!$A$11:$N$32</definedName>
    <definedName name="_xlnm._FilterDatabase" localSheetId="5" hidden="1">Substructure!$A$7:$N$38</definedName>
    <definedName name="_xlnm._FilterDatabase" localSheetId="6" hidden="1">Superstructure!$A$7:$N$54</definedName>
    <definedName name="_xlnm._FilterDatabase" localSheetId="9" hidden="1">'Windows, Doors &amp; Rooflights'!$A$11:$P$46</definedName>
    <definedName name="_xlnm.Print_Area" localSheetId="0">Cover!$A$1:$L$65</definedName>
    <definedName name="_xlnm.Print_Area" localSheetId="12">Decoration!$A$1:$F$24</definedName>
    <definedName name="_xlnm.Print_Area" localSheetId="4">Demolition!$A$1:$F$20</definedName>
    <definedName name="_xlnm.Print_Area" localSheetId="16">Electrical!$A$1:$F$90</definedName>
    <definedName name="_xlnm.Print_Area" localSheetId="18">Externals!$A$1:$F$20</definedName>
    <definedName name="_xlnm.Print_Area" localSheetId="13">'Floor finishes'!$A$1:$F$22</definedName>
    <definedName name="_xlnm.Print_Area" localSheetId="11">Joinery!$A$1:$F$38</definedName>
    <definedName name="_xlnm.Print_Area" localSheetId="15">'Kitchens &amp; Bathrooms'!$A$1:$F$55</definedName>
    <definedName name="_xlnm.Print_Area" localSheetId="17">'Mechanical &amp; Plumbing'!$A$1:$F$88</definedName>
    <definedName name="_xlnm.Print_Area" localSheetId="10">Partitions!$A$1:$F$34</definedName>
    <definedName name="_xlnm.Print_Area" localSheetId="19">Preliminaries!$A$1:$F$40</definedName>
    <definedName name="_xlnm.Print_Area" localSheetId="8">Roof!$A$1:$F$44</definedName>
    <definedName name="_xlnm.Print_Area" localSheetId="7">'Structural Steelwork'!$A$1:$F$32</definedName>
    <definedName name="_xlnm.Print_Area" localSheetId="5">Substructure!$A$1:$F$38</definedName>
    <definedName name="_xlnm.Print_Area" localSheetId="3">Summary!$A$1:$D$45</definedName>
    <definedName name="_xlnm.Print_Area" localSheetId="6">Superstructure!$A$1:$F$54</definedName>
    <definedName name="_xlnm.Print_Area" localSheetId="14">'Wall finishes'!$A$1:$F$19</definedName>
    <definedName name="_xlnm.Print_Area" localSheetId="9">'Windows, Doors &amp; Rooflights'!$A$1:$H$46</definedName>
  </definedNames>
  <calcPr calcId="191029"/>
</workbook>
</file>

<file path=xl/calcChain.xml><?xml version="1.0" encoding="utf-8"?>
<calcChain xmlns="http://schemas.openxmlformats.org/spreadsheetml/2006/main">
  <c r="F39" i="97" l="1"/>
  <c r="N19" i="104"/>
  <c r="M19" i="104"/>
  <c r="L19" i="104"/>
  <c r="K19" i="104"/>
  <c r="F19" i="104"/>
  <c r="N87" i="78"/>
  <c r="M87" i="78"/>
  <c r="L87" i="78"/>
  <c r="K87" i="78"/>
  <c r="F87" i="78"/>
  <c r="N89" i="93"/>
  <c r="M89" i="93"/>
  <c r="L89" i="93"/>
  <c r="K89" i="93"/>
  <c r="F89" i="93"/>
  <c r="N54" i="82"/>
  <c r="M54" i="82"/>
  <c r="L54" i="82"/>
  <c r="K54" i="82"/>
  <c r="F54" i="82"/>
  <c r="N18" i="106"/>
  <c r="M18" i="106"/>
  <c r="L18" i="106"/>
  <c r="K18" i="106"/>
  <c r="F18" i="106"/>
  <c r="N21" i="92"/>
  <c r="M21" i="92"/>
  <c r="L21" i="92"/>
  <c r="K21" i="92"/>
  <c r="F21" i="92"/>
  <c r="F23" i="91"/>
  <c r="N23" i="91"/>
  <c r="M23" i="91"/>
  <c r="L23" i="91"/>
  <c r="K23" i="91"/>
  <c r="N37" i="90"/>
  <c r="M37" i="90"/>
  <c r="L37" i="90"/>
  <c r="K37" i="90"/>
  <c r="F37" i="90"/>
  <c r="N33" i="77"/>
  <c r="M33" i="77"/>
  <c r="L33" i="77"/>
  <c r="K33" i="77"/>
  <c r="F33" i="77"/>
  <c r="P45" i="110"/>
  <c r="O45" i="110"/>
  <c r="N45" i="110"/>
  <c r="M45" i="110"/>
  <c r="H45" i="110"/>
  <c r="N43" i="105"/>
  <c r="M43" i="105"/>
  <c r="L43" i="105"/>
  <c r="K43" i="105"/>
  <c r="N53" i="101"/>
  <c r="L53" i="101"/>
  <c r="K53" i="101"/>
  <c r="N37" i="100"/>
  <c r="M37" i="100"/>
  <c r="L37" i="100"/>
  <c r="K37" i="100"/>
  <c r="F37" i="100"/>
  <c r="N19" i="79"/>
  <c r="M19" i="79"/>
  <c r="L19" i="79"/>
  <c r="K19" i="79"/>
  <c r="F19" i="79"/>
  <c r="G25" i="110" l="1"/>
  <c r="H25" i="110" s="1"/>
  <c r="K11" i="104"/>
  <c r="K22" i="78"/>
  <c r="I32" i="78"/>
  <c r="M32" i="78" s="1"/>
  <c r="K34" i="78"/>
  <c r="K40" i="78"/>
  <c r="K44" i="78"/>
  <c r="I46" i="78"/>
  <c r="M46" i="78" s="1"/>
  <c r="I52" i="78"/>
  <c r="M52" i="78" s="1"/>
  <c r="K56" i="78"/>
  <c r="I66" i="78"/>
  <c r="M66" i="78" s="1"/>
  <c r="I68" i="78"/>
  <c r="M68" i="78" s="1"/>
  <c r="K70" i="78"/>
  <c r="K78" i="78"/>
  <c r="K80" i="78"/>
  <c r="I82" i="78"/>
  <c r="M82" i="78" s="1"/>
  <c r="K18" i="93"/>
  <c r="K20" i="93"/>
  <c r="K27" i="93"/>
  <c r="I31" i="93"/>
  <c r="M31" i="93" s="1"/>
  <c r="I33" i="93"/>
  <c r="M33" i="93" s="1"/>
  <c r="K41" i="93"/>
  <c r="K47" i="93"/>
  <c r="I53" i="93"/>
  <c r="I55" i="93"/>
  <c r="M55" i="93" s="1"/>
  <c r="I59" i="93"/>
  <c r="M59" i="93" s="1"/>
  <c r="K63" i="93"/>
  <c r="I67" i="93"/>
  <c r="M67" i="93" s="1"/>
  <c r="I69" i="93"/>
  <c r="K77" i="93"/>
  <c r="K81" i="93"/>
  <c r="K13" i="82"/>
  <c r="K19" i="82"/>
  <c r="I21" i="82"/>
  <c r="M21" i="82" s="1"/>
  <c r="I23" i="82"/>
  <c r="M23" i="82" s="1"/>
  <c r="K25" i="82"/>
  <c r="K31" i="82"/>
  <c r="I33" i="82"/>
  <c r="M33" i="82" s="1"/>
  <c r="K35" i="82"/>
  <c r="K37" i="82"/>
  <c r="I44" i="82"/>
  <c r="M44" i="82" s="1"/>
  <c r="I46" i="82"/>
  <c r="M46" i="82" s="1"/>
  <c r="K48" i="82"/>
  <c r="A36" i="82"/>
  <c r="A38" i="82"/>
  <c r="A40" i="82"/>
  <c r="A41" i="82"/>
  <c r="A43" i="82"/>
  <c r="A45" i="82"/>
  <c r="A47" i="82"/>
  <c r="A49" i="82"/>
  <c r="A51" i="82"/>
  <c r="K21" i="90"/>
  <c r="I23" i="90"/>
  <c r="M23" i="90" s="1"/>
  <c r="K27" i="90"/>
  <c r="K31" i="90"/>
  <c r="I33" i="90"/>
  <c r="M33" i="90" s="1"/>
  <c r="K35" i="90"/>
  <c r="K11" i="90"/>
  <c r="K15" i="110"/>
  <c r="O15" i="110" s="1"/>
  <c r="K17" i="110"/>
  <c r="O17" i="110" s="1"/>
  <c r="M27" i="110"/>
  <c r="M37" i="110"/>
  <c r="M39" i="110"/>
  <c r="M41" i="110"/>
  <c r="M13" i="110"/>
  <c r="A14" i="92"/>
  <c r="A15" i="92"/>
  <c r="A16" i="92"/>
  <c r="A18" i="92"/>
  <c r="A20" i="92"/>
  <c r="A16" i="77"/>
  <c r="A17" i="77"/>
  <c r="A18" i="77"/>
  <c r="A20" i="77"/>
  <c r="A22" i="77"/>
  <c r="A23" i="77"/>
  <c r="A24" i="77"/>
  <c r="A26" i="77"/>
  <c r="A28" i="77"/>
  <c r="A29" i="77"/>
  <c r="A30" i="77"/>
  <c r="A32" i="77"/>
  <c r="A18" i="100"/>
  <c r="A20" i="100"/>
  <c r="A22" i="100"/>
  <c r="A24" i="100"/>
  <c r="A26" i="100"/>
  <c r="A28" i="100"/>
  <c r="A30" i="100"/>
  <c r="A31" i="100"/>
  <c r="A32" i="100"/>
  <c r="A34" i="100"/>
  <c r="A36" i="100"/>
  <c r="A38" i="100"/>
  <c r="A12" i="107"/>
  <c r="A11" i="107"/>
  <c r="L17" i="104"/>
  <c r="K17" i="104"/>
  <c r="J17" i="104"/>
  <c r="N17" i="104" s="1"/>
  <c r="I17" i="104"/>
  <c r="M17" i="104" s="1"/>
  <c r="L15" i="104"/>
  <c r="K15" i="104"/>
  <c r="J15" i="104"/>
  <c r="N15" i="104" s="1"/>
  <c r="I15" i="104"/>
  <c r="A14" i="104"/>
  <c r="A13" i="104"/>
  <c r="A12" i="104"/>
  <c r="L11" i="104"/>
  <c r="J11" i="104"/>
  <c r="N11" i="104" s="1"/>
  <c r="A10" i="104"/>
  <c r="A9" i="104"/>
  <c r="N8" i="104"/>
  <c r="A85" i="78"/>
  <c r="L84" i="78"/>
  <c r="K84" i="78"/>
  <c r="J84" i="78"/>
  <c r="N84" i="78" s="1"/>
  <c r="I84" i="78"/>
  <c r="M84" i="78" s="1"/>
  <c r="A83" i="78"/>
  <c r="L82" i="78"/>
  <c r="J82" i="78"/>
  <c r="N82" i="78" s="1"/>
  <c r="A81" i="78"/>
  <c r="L80" i="78"/>
  <c r="J80" i="78"/>
  <c r="N80" i="78" s="1"/>
  <c r="I80" i="78"/>
  <c r="M80" i="78" s="1"/>
  <c r="A79" i="78"/>
  <c r="L78" i="78"/>
  <c r="J78" i="78"/>
  <c r="A77" i="78"/>
  <c r="L76" i="78"/>
  <c r="K76" i="78"/>
  <c r="J76" i="78"/>
  <c r="N76" i="78" s="1"/>
  <c r="I76" i="78"/>
  <c r="M76" i="78" s="1"/>
  <c r="A75" i="78"/>
  <c r="A74" i="78"/>
  <c r="A73" i="78"/>
  <c r="L72" i="78"/>
  <c r="K72" i="78"/>
  <c r="J72" i="78"/>
  <c r="N72" i="78" s="1"/>
  <c r="I72" i="78"/>
  <c r="M72" i="78" s="1"/>
  <c r="A71" i="78"/>
  <c r="L70" i="78"/>
  <c r="J70" i="78"/>
  <c r="N70" i="78" s="1"/>
  <c r="A69" i="78"/>
  <c r="L68" i="78"/>
  <c r="K68" i="78"/>
  <c r="J68" i="78"/>
  <c r="N68" i="78" s="1"/>
  <c r="A67" i="78"/>
  <c r="L66" i="78"/>
  <c r="J66" i="78"/>
  <c r="A65" i="78"/>
  <c r="L64" i="78"/>
  <c r="K64" i="78"/>
  <c r="J64" i="78"/>
  <c r="N64" i="78" s="1"/>
  <c r="I64" i="78"/>
  <c r="M64" i="78" s="1"/>
  <c r="A63" i="78"/>
  <c r="L62" i="78"/>
  <c r="K62" i="78"/>
  <c r="J62" i="78"/>
  <c r="N62" i="78" s="1"/>
  <c r="I62" i="78"/>
  <c r="M62" i="78" s="1"/>
  <c r="A61" i="78"/>
  <c r="L60" i="78"/>
  <c r="K60" i="78"/>
  <c r="J60" i="78"/>
  <c r="N60" i="78" s="1"/>
  <c r="I60" i="78"/>
  <c r="M60" i="78" s="1"/>
  <c r="A59" i="78"/>
  <c r="A58" i="78"/>
  <c r="A57" i="78"/>
  <c r="L56" i="78"/>
  <c r="J56" i="78"/>
  <c r="N56" i="78" s="1"/>
  <c r="A55" i="78"/>
  <c r="L54" i="78"/>
  <c r="K54" i="78"/>
  <c r="J54" i="78"/>
  <c r="I54" i="78"/>
  <c r="M54" i="78" s="1"/>
  <c r="A53" i="78"/>
  <c r="L52" i="78"/>
  <c r="K52" i="78"/>
  <c r="J52" i="78"/>
  <c r="N52" i="78" s="1"/>
  <c r="A51" i="78"/>
  <c r="L50" i="78"/>
  <c r="K50" i="78"/>
  <c r="J50" i="78"/>
  <c r="N50" i="78" s="1"/>
  <c r="I50" i="78"/>
  <c r="M50" i="78" s="1"/>
  <c r="A49" i="78"/>
  <c r="L48" i="78"/>
  <c r="K48" i="78"/>
  <c r="J48" i="78"/>
  <c r="N48" i="78" s="1"/>
  <c r="I48" i="78"/>
  <c r="M48" i="78" s="1"/>
  <c r="A47" i="78"/>
  <c r="L46" i="78"/>
  <c r="J46" i="78"/>
  <c r="N46" i="78" s="1"/>
  <c r="A45" i="78"/>
  <c r="L44" i="78"/>
  <c r="J44" i="78"/>
  <c r="N44" i="78" s="1"/>
  <c r="I44" i="78"/>
  <c r="M44" i="78" s="1"/>
  <c r="A43" i="78"/>
  <c r="A42" i="78"/>
  <c r="A41" i="78"/>
  <c r="L40" i="78"/>
  <c r="J40" i="78"/>
  <c r="N40" i="78" s="1"/>
  <c r="A39" i="78"/>
  <c r="L38" i="78"/>
  <c r="K38" i="78"/>
  <c r="J38" i="78"/>
  <c r="I38" i="78"/>
  <c r="M38" i="78" s="1"/>
  <c r="A37" i="78"/>
  <c r="L36" i="78"/>
  <c r="K36" i="78"/>
  <c r="J36" i="78"/>
  <c r="N36" i="78" s="1"/>
  <c r="I36" i="78"/>
  <c r="M36" i="78" s="1"/>
  <c r="A35" i="78"/>
  <c r="L34" i="78"/>
  <c r="J34" i="78"/>
  <c r="N34" i="78" s="1"/>
  <c r="A33" i="78"/>
  <c r="L32" i="78"/>
  <c r="K32" i="78"/>
  <c r="J32" i="78"/>
  <c r="N32" i="78" s="1"/>
  <c r="A31" i="78"/>
  <c r="A30" i="78"/>
  <c r="A29" i="78"/>
  <c r="L28" i="78"/>
  <c r="K28" i="78"/>
  <c r="J28" i="78"/>
  <c r="N28" i="78" s="1"/>
  <c r="I28" i="78"/>
  <c r="M28" i="78" s="1"/>
  <c r="A27" i="78"/>
  <c r="L26" i="78"/>
  <c r="K26" i="78"/>
  <c r="J26" i="78"/>
  <c r="N26" i="78" s="1"/>
  <c r="I26" i="78"/>
  <c r="M26" i="78" s="1"/>
  <c r="A25" i="78"/>
  <c r="L24" i="78"/>
  <c r="K24" i="78"/>
  <c r="J24" i="78"/>
  <c r="N24" i="78" s="1"/>
  <c r="I24" i="78"/>
  <c r="M24" i="78" s="1"/>
  <c r="A23" i="78"/>
  <c r="L22" i="78"/>
  <c r="J22" i="78"/>
  <c r="I22" i="78"/>
  <c r="M22" i="78" s="1"/>
  <c r="A21" i="78"/>
  <c r="A20" i="78"/>
  <c r="A19" i="78"/>
  <c r="A18" i="78"/>
  <c r="A17" i="78"/>
  <c r="A16" i="78"/>
  <c r="L15" i="78"/>
  <c r="K15" i="78"/>
  <c r="J15" i="78"/>
  <c r="I15" i="78"/>
  <c r="M15" i="78" s="1"/>
  <c r="L11" i="78"/>
  <c r="K11" i="78"/>
  <c r="J11" i="78"/>
  <c r="I11" i="78"/>
  <c r="M11" i="78" s="1"/>
  <c r="N8" i="78"/>
  <c r="L87" i="93"/>
  <c r="K87" i="93"/>
  <c r="J87" i="93"/>
  <c r="N87" i="93" s="1"/>
  <c r="I87" i="93"/>
  <c r="M87" i="93" s="1"/>
  <c r="A86" i="93"/>
  <c r="L85" i="93"/>
  <c r="K85" i="93"/>
  <c r="J85" i="93"/>
  <c r="N85" i="93" s="1"/>
  <c r="I85" i="93"/>
  <c r="A84" i="93"/>
  <c r="A83" i="93"/>
  <c r="A82" i="93"/>
  <c r="L81" i="93"/>
  <c r="J81" i="93"/>
  <c r="N81" i="93" s="1"/>
  <c r="A80" i="93"/>
  <c r="L79" i="93"/>
  <c r="K79" i="93"/>
  <c r="J79" i="93"/>
  <c r="N79" i="93" s="1"/>
  <c r="I79" i="93"/>
  <c r="M79" i="93" s="1"/>
  <c r="A78" i="93"/>
  <c r="L77" i="93"/>
  <c r="J77" i="93"/>
  <c r="N77" i="93" s="1"/>
  <c r="A76" i="93"/>
  <c r="L75" i="93"/>
  <c r="K75" i="93"/>
  <c r="J75" i="93"/>
  <c r="N75" i="93" s="1"/>
  <c r="I75" i="93"/>
  <c r="M75" i="93" s="1"/>
  <c r="A74" i="93"/>
  <c r="L73" i="93"/>
  <c r="K73" i="93"/>
  <c r="J73" i="93"/>
  <c r="N73" i="93" s="1"/>
  <c r="I73" i="93"/>
  <c r="A72" i="93"/>
  <c r="L71" i="93"/>
  <c r="K71" i="93"/>
  <c r="J71" i="93"/>
  <c r="N71" i="93" s="1"/>
  <c r="I71" i="93"/>
  <c r="M71" i="93" s="1"/>
  <c r="A70" i="93"/>
  <c r="L69" i="93"/>
  <c r="K69" i="93"/>
  <c r="J69" i="93"/>
  <c r="N69" i="93" s="1"/>
  <c r="A68" i="93"/>
  <c r="L67" i="93"/>
  <c r="J67" i="93"/>
  <c r="N67" i="93" s="1"/>
  <c r="A66" i="93"/>
  <c r="L65" i="93"/>
  <c r="K65" i="93"/>
  <c r="J65" i="93"/>
  <c r="N65" i="93" s="1"/>
  <c r="I65" i="93"/>
  <c r="A64" i="93"/>
  <c r="L63" i="93"/>
  <c r="J63" i="93"/>
  <c r="N63" i="93" s="1"/>
  <c r="A62" i="93"/>
  <c r="L61" i="93"/>
  <c r="K61" i="93"/>
  <c r="J61" i="93"/>
  <c r="N61" i="93" s="1"/>
  <c r="I61" i="93"/>
  <c r="E61" i="93" s="1"/>
  <c r="F61" i="93" s="1"/>
  <c r="A60" i="93"/>
  <c r="L59" i="93"/>
  <c r="K59" i="93"/>
  <c r="J59" i="93"/>
  <c r="N59" i="93" s="1"/>
  <c r="A58" i="93"/>
  <c r="A57" i="93"/>
  <c r="A56" i="93"/>
  <c r="L55" i="93"/>
  <c r="J55" i="93"/>
  <c r="N55" i="93" s="1"/>
  <c r="A54" i="93"/>
  <c r="L53" i="93"/>
  <c r="K53" i="93"/>
  <c r="J53" i="93"/>
  <c r="N53" i="93" s="1"/>
  <c r="A52" i="93"/>
  <c r="L51" i="93"/>
  <c r="K51" i="93"/>
  <c r="J51" i="93"/>
  <c r="N51" i="93" s="1"/>
  <c r="I51" i="93"/>
  <c r="M51" i="93" s="1"/>
  <c r="A50" i="93"/>
  <c r="L49" i="93"/>
  <c r="K49" i="93"/>
  <c r="J49" i="93"/>
  <c r="N49" i="93" s="1"/>
  <c r="I49" i="93"/>
  <c r="M49" i="93" s="1"/>
  <c r="A48" i="93"/>
  <c r="L47" i="93"/>
  <c r="J47" i="93"/>
  <c r="N47" i="93" s="1"/>
  <c r="A46" i="93"/>
  <c r="A45" i="93"/>
  <c r="A44" i="93"/>
  <c r="L43" i="93"/>
  <c r="K43" i="93"/>
  <c r="J43" i="93"/>
  <c r="N43" i="93" s="1"/>
  <c r="I43" i="93"/>
  <c r="M43" i="93" s="1"/>
  <c r="A42" i="93"/>
  <c r="L41" i="93"/>
  <c r="J41" i="93"/>
  <c r="N41" i="93" s="1"/>
  <c r="A40" i="93"/>
  <c r="L39" i="93"/>
  <c r="K39" i="93"/>
  <c r="J39" i="93"/>
  <c r="N39" i="93" s="1"/>
  <c r="I39" i="93"/>
  <c r="M39" i="93" s="1"/>
  <c r="A38" i="93"/>
  <c r="L37" i="93"/>
  <c r="K37" i="93"/>
  <c r="J37" i="93"/>
  <c r="N37" i="93" s="1"/>
  <c r="I37" i="93"/>
  <c r="M37" i="93" s="1"/>
  <c r="A36" i="93"/>
  <c r="L35" i="93"/>
  <c r="K35" i="93"/>
  <c r="J35" i="93"/>
  <c r="N35" i="93" s="1"/>
  <c r="I35" i="93"/>
  <c r="M35" i="93" s="1"/>
  <c r="A34" i="93"/>
  <c r="L33" i="93"/>
  <c r="K33" i="93"/>
  <c r="J33" i="93"/>
  <c r="N33" i="93" s="1"/>
  <c r="A32" i="93"/>
  <c r="L31" i="93"/>
  <c r="J31" i="93"/>
  <c r="N31" i="93" s="1"/>
  <c r="A30" i="93"/>
  <c r="L29" i="93"/>
  <c r="K29" i="93"/>
  <c r="J29" i="93"/>
  <c r="N29" i="93" s="1"/>
  <c r="I29" i="93"/>
  <c r="A28" i="93"/>
  <c r="L27" i="93"/>
  <c r="J27" i="93"/>
  <c r="N27" i="93" s="1"/>
  <c r="A26" i="93"/>
  <c r="L25" i="93"/>
  <c r="K25" i="93"/>
  <c r="J25" i="93"/>
  <c r="N25" i="93" s="1"/>
  <c r="I25" i="93"/>
  <c r="A24" i="93"/>
  <c r="A23" i="93"/>
  <c r="A22" i="93"/>
  <c r="A21" i="93"/>
  <c r="L20" i="93"/>
  <c r="J20" i="93"/>
  <c r="N20" i="93" s="1"/>
  <c r="L18" i="93"/>
  <c r="J18" i="93"/>
  <c r="N18" i="93" s="1"/>
  <c r="I18" i="93"/>
  <c r="M18" i="93" s="1"/>
  <c r="L16" i="93"/>
  <c r="K16" i="93"/>
  <c r="J16" i="93"/>
  <c r="I16" i="93"/>
  <c r="M16" i="93" s="1"/>
  <c r="L14" i="93"/>
  <c r="K14" i="93"/>
  <c r="J14" i="93"/>
  <c r="N14" i="93" s="1"/>
  <c r="I14" i="93"/>
  <c r="L12" i="93"/>
  <c r="K12" i="93"/>
  <c r="J12" i="93"/>
  <c r="N12" i="93" s="1"/>
  <c r="I12" i="93"/>
  <c r="M12" i="93" s="1"/>
  <c r="L10" i="93"/>
  <c r="K10" i="93"/>
  <c r="J10" i="93"/>
  <c r="N10" i="93" s="1"/>
  <c r="I10" i="93"/>
  <c r="M10" i="93" s="1"/>
  <c r="L35" i="90"/>
  <c r="J35" i="90"/>
  <c r="N35" i="90" s="1"/>
  <c r="A34" i="90"/>
  <c r="L33" i="90"/>
  <c r="K33" i="90"/>
  <c r="J33" i="90"/>
  <c r="A32" i="90"/>
  <c r="L31" i="90"/>
  <c r="J31" i="90"/>
  <c r="N31" i="90" s="1"/>
  <c r="A30" i="90"/>
  <c r="L29" i="90"/>
  <c r="K29" i="90"/>
  <c r="J29" i="90"/>
  <c r="N29" i="90" s="1"/>
  <c r="I29" i="90"/>
  <c r="M29" i="90" s="1"/>
  <c r="A28" i="90"/>
  <c r="L27" i="90"/>
  <c r="J27" i="90"/>
  <c r="N27" i="90" s="1"/>
  <c r="I27" i="90"/>
  <c r="M27" i="90" s="1"/>
  <c r="A26" i="90"/>
  <c r="L25" i="90"/>
  <c r="K25" i="90"/>
  <c r="J25" i="90"/>
  <c r="N25" i="90" s="1"/>
  <c r="I25" i="90"/>
  <c r="M25" i="90" s="1"/>
  <c r="A24" i="90"/>
  <c r="L23" i="90"/>
  <c r="K23" i="90"/>
  <c r="J23" i="90"/>
  <c r="N23" i="90" s="1"/>
  <c r="A22" i="90"/>
  <c r="L21" i="90"/>
  <c r="J21" i="90"/>
  <c r="N21" i="90" s="1"/>
  <c r="A20" i="90"/>
  <c r="L19" i="90"/>
  <c r="K19" i="90"/>
  <c r="J19" i="90"/>
  <c r="N19" i="90" s="1"/>
  <c r="I19" i="90"/>
  <c r="M19" i="90" s="1"/>
  <c r="A18" i="90"/>
  <c r="A17" i="90"/>
  <c r="A16" i="90"/>
  <c r="L15" i="90"/>
  <c r="K15" i="90"/>
  <c r="J15" i="90"/>
  <c r="N15" i="90" s="1"/>
  <c r="I15" i="90"/>
  <c r="M15" i="90" s="1"/>
  <c r="A14" i="90"/>
  <c r="N13" i="90"/>
  <c r="M13" i="90"/>
  <c r="J13" i="90"/>
  <c r="I13" i="90"/>
  <c r="A13" i="90"/>
  <c r="A12" i="90"/>
  <c r="L11" i="90"/>
  <c r="J11" i="90"/>
  <c r="N11" i="90" s="1"/>
  <c r="N10" i="90"/>
  <c r="A10" i="90"/>
  <c r="N9" i="90"/>
  <c r="M9" i="90"/>
  <c r="J9" i="90"/>
  <c r="I9" i="90"/>
  <c r="A9" i="90"/>
  <c r="L52" i="82"/>
  <c r="K52" i="82"/>
  <c r="J52" i="82"/>
  <c r="N52" i="82" s="1"/>
  <c r="I52" i="82"/>
  <c r="M52" i="82" s="1"/>
  <c r="L50" i="82"/>
  <c r="K50" i="82"/>
  <c r="J50" i="82"/>
  <c r="N50" i="82" s="1"/>
  <c r="I50" i="82"/>
  <c r="M50" i="82" s="1"/>
  <c r="L48" i="82"/>
  <c r="J48" i="82"/>
  <c r="N48" i="82" s="1"/>
  <c r="L46" i="82"/>
  <c r="K46" i="82"/>
  <c r="J46" i="82"/>
  <c r="N46" i="82" s="1"/>
  <c r="L44" i="82"/>
  <c r="J44" i="82"/>
  <c r="N44" i="82" s="1"/>
  <c r="L42" i="82"/>
  <c r="K42" i="82"/>
  <c r="J42" i="82"/>
  <c r="I42" i="82"/>
  <c r="M42" i="82" s="1"/>
  <c r="L39" i="82"/>
  <c r="K39" i="82"/>
  <c r="J39" i="82"/>
  <c r="I39" i="82"/>
  <c r="M39" i="82" s="1"/>
  <c r="L37" i="82"/>
  <c r="J37" i="82"/>
  <c r="N37" i="82" s="1"/>
  <c r="L35" i="82"/>
  <c r="J35" i="82"/>
  <c r="A34" i="82"/>
  <c r="L33" i="82"/>
  <c r="K33" i="82"/>
  <c r="J33" i="82"/>
  <c r="N33" i="82" s="1"/>
  <c r="A32" i="82"/>
  <c r="L31" i="82"/>
  <c r="J31" i="82"/>
  <c r="I31" i="82"/>
  <c r="M31" i="82" s="1"/>
  <c r="A29" i="82"/>
  <c r="A28" i="82"/>
  <c r="A27" i="82"/>
  <c r="A26" i="82"/>
  <c r="L25" i="82"/>
  <c r="J25" i="82"/>
  <c r="A24" i="82"/>
  <c r="L23" i="82"/>
  <c r="J23" i="82"/>
  <c r="N23" i="82" s="1"/>
  <c r="A22" i="82"/>
  <c r="L21" i="82"/>
  <c r="K21" i="82"/>
  <c r="J21" i="82"/>
  <c r="A20" i="82"/>
  <c r="L19" i="82"/>
  <c r="J19" i="82"/>
  <c r="N19" i="82" s="1"/>
  <c r="I19" i="82"/>
  <c r="M19" i="82" s="1"/>
  <c r="A18" i="82"/>
  <c r="L17" i="82"/>
  <c r="K17" i="82"/>
  <c r="J17" i="82"/>
  <c r="I17" i="82"/>
  <c r="M17" i="82" s="1"/>
  <c r="A16" i="82"/>
  <c r="L15" i="82"/>
  <c r="K15" i="82"/>
  <c r="J15" i="82"/>
  <c r="N15" i="82" s="1"/>
  <c r="I15" i="82"/>
  <c r="M15" i="82" s="1"/>
  <c r="A14" i="82"/>
  <c r="L13" i="82"/>
  <c r="J13" i="82"/>
  <c r="L11" i="82"/>
  <c r="K11" i="82"/>
  <c r="J11" i="82"/>
  <c r="I11" i="82"/>
  <c r="M11" i="82" s="1"/>
  <c r="N43" i="110"/>
  <c r="M43" i="110"/>
  <c r="L43" i="110"/>
  <c r="P43" i="110" s="1"/>
  <c r="K43" i="110"/>
  <c r="O43" i="110" s="1"/>
  <c r="N41" i="110"/>
  <c r="L41" i="110"/>
  <c r="P41" i="110" s="1"/>
  <c r="N39" i="110"/>
  <c r="L39" i="110"/>
  <c r="P39" i="110" s="1"/>
  <c r="K39" i="110"/>
  <c r="O39" i="110" s="1"/>
  <c r="N37" i="110"/>
  <c r="L37" i="110"/>
  <c r="P37" i="110" s="1"/>
  <c r="N35" i="110"/>
  <c r="M35" i="110"/>
  <c r="L35" i="110"/>
  <c r="P35" i="110" s="1"/>
  <c r="K35" i="110"/>
  <c r="O35" i="110" s="1"/>
  <c r="N33" i="110"/>
  <c r="M33" i="110"/>
  <c r="L33" i="110"/>
  <c r="P33" i="110" s="1"/>
  <c r="K33" i="110"/>
  <c r="O33" i="110" s="1"/>
  <c r="N31" i="110"/>
  <c r="M31" i="110"/>
  <c r="L31" i="110"/>
  <c r="P31" i="110" s="1"/>
  <c r="K31" i="110"/>
  <c r="O31" i="110" s="1"/>
  <c r="A30" i="110"/>
  <c r="P29" i="110"/>
  <c r="O29" i="110"/>
  <c r="L29" i="110"/>
  <c r="K29" i="110"/>
  <c r="A29" i="110"/>
  <c r="A28" i="110"/>
  <c r="N27" i="110"/>
  <c r="L27" i="110"/>
  <c r="P27" i="110" s="1"/>
  <c r="N25" i="110"/>
  <c r="M25" i="110"/>
  <c r="L25" i="110"/>
  <c r="P25" i="110" s="1"/>
  <c r="K25" i="110"/>
  <c r="O25" i="110" s="1"/>
  <c r="N23" i="110"/>
  <c r="M23" i="110"/>
  <c r="L23" i="110"/>
  <c r="P23" i="110" s="1"/>
  <c r="K23" i="110"/>
  <c r="O23" i="110" s="1"/>
  <c r="N21" i="110"/>
  <c r="M21" i="110"/>
  <c r="L21" i="110"/>
  <c r="P21" i="110" s="1"/>
  <c r="K21" i="110"/>
  <c r="O21" i="110" s="1"/>
  <c r="N19" i="110"/>
  <c r="M19" i="110"/>
  <c r="L19" i="110"/>
  <c r="P19" i="110" s="1"/>
  <c r="K19" i="110"/>
  <c r="O19" i="110" s="1"/>
  <c r="N17" i="110"/>
  <c r="L17" i="110"/>
  <c r="P17" i="110" s="1"/>
  <c r="A17" i="110"/>
  <c r="N15" i="110"/>
  <c r="M15" i="110"/>
  <c r="L15" i="110"/>
  <c r="P15" i="110" s="1"/>
  <c r="N13" i="110"/>
  <c r="L13" i="110"/>
  <c r="P13" i="110" s="1"/>
  <c r="P12" i="110"/>
  <c r="P11" i="110"/>
  <c r="L17" i="79"/>
  <c r="K17" i="79"/>
  <c r="J17" i="79"/>
  <c r="N17" i="79" s="1"/>
  <c r="I17" i="79"/>
  <c r="M17" i="79" s="1"/>
  <c r="L15" i="79"/>
  <c r="K15" i="79"/>
  <c r="J15" i="79"/>
  <c r="N15" i="79" s="1"/>
  <c r="I15" i="79"/>
  <c r="L13" i="79"/>
  <c r="K13" i="79"/>
  <c r="J13" i="79"/>
  <c r="I13" i="79"/>
  <c r="M13" i="79" s="1"/>
  <c r="J11" i="79"/>
  <c r="I11" i="79"/>
  <c r="C11" i="79"/>
  <c r="L11" i="79" s="1"/>
  <c r="L9" i="79"/>
  <c r="K9" i="79"/>
  <c r="J9" i="79"/>
  <c r="N9" i="79" s="1"/>
  <c r="I9" i="79"/>
  <c r="G43" i="110" l="1"/>
  <c r="H43" i="110" s="1"/>
  <c r="G35" i="110"/>
  <c r="H35" i="110" s="1"/>
  <c r="G31" i="110"/>
  <c r="H31" i="110" s="1"/>
  <c r="G23" i="110"/>
  <c r="H23" i="110" s="1"/>
  <c r="G33" i="110"/>
  <c r="H33" i="110" s="1"/>
  <c r="G19" i="110"/>
  <c r="H19" i="110" s="1"/>
  <c r="G17" i="110"/>
  <c r="H17" i="110" s="1"/>
  <c r="G21" i="110"/>
  <c r="H21" i="110" s="1"/>
  <c r="G39" i="110"/>
  <c r="H39" i="110" s="1"/>
  <c r="G27" i="110"/>
  <c r="H27" i="110" s="1"/>
  <c r="G15" i="110"/>
  <c r="H15" i="110" s="1"/>
  <c r="I11" i="104"/>
  <c r="M11" i="104" s="1"/>
  <c r="I56" i="78"/>
  <c r="M56" i="78" s="1"/>
  <c r="K66" i="78"/>
  <c r="I78" i="78"/>
  <c r="M78" i="78" s="1"/>
  <c r="K82" i="78"/>
  <c r="I34" i="78"/>
  <c r="M34" i="78" s="1"/>
  <c r="I70" i="78"/>
  <c r="M70" i="78" s="1"/>
  <c r="I40" i="78"/>
  <c r="M40" i="78" s="1"/>
  <c r="E66" i="78"/>
  <c r="F66" i="78" s="1"/>
  <c r="K46" i="78"/>
  <c r="I81" i="93"/>
  <c r="M81" i="93" s="1"/>
  <c r="I20" i="93"/>
  <c r="M20" i="93" s="1"/>
  <c r="I47" i="93"/>
  <c r="M47" i="93" s="1"/>
  <c r="I77" i="93"/>
  <c r="M77" i="93" s="1"/>
  <c r="I27" i="93"/>
  <c r="M27" i="93" s="1"/>
  <c r="K31" i="93"/>
  <c r="I63" i="93"/>
  <c r="M63" i="93" s="1"/>
  <c r="K67" i="93"/>
  <c r="K55" i="93"/>
  <c r="I41" i="93"/>
  <c r="M41" i="93" s="1"/>
  <c r="E29" i="93"/>
  <c r="F29" i="93" s="1"/>
  <c r="I13" i="82"/>
  <c r="M13" i="82" s="1"/>
  <c r="I48" i="82"/>
  <c r="M48" i="82" s="1"/>
  <c r="K23" i="82"/>
  <c r="I37" i="82"/>
  <c r="M37" i="82" s="1"/>
  <c r="I25" i="82"/>
  <c r="M25" i="82" s="1"/>
  <c r="K44" i="82"/>
  <c r="I35" i="82"/>
  <c r="M35" i="82" s="1"/>
  <c r="I31" i="90"/>
  <c r="M31" i="90" s="1"/>
  <c r="I35" i="90"/>
  <c r="M35" i="90" s="1"/>
  <c r="I21" i="90"/>
  <c r="M21" i="90" s="1"/>
  <c r="I11" i="90"/>
  <c r="M11" i="90" s="1"/>
  <c r="M17" i="110"/>
  <c r="K41" i="110"/>
  <c r="O41" i="110" s="1"/>
  <c r="K27" i="110"/>
  <c r="O27" i="110" s="1"/>
  <c r="K37" i="110"/>
  <c r="K13" i="110"/>
  <c r="E33" i="90"/>
  <c r="F33" i="90" s="1"/>
  <c r="E68" i="78"/>
  <c r="F68" i="78" s="1"/>
  <c r="E11" i="79"/>
  <c r="F11" i="79" s="1"/>
  <c r="A11" i="79" s="1"/>
  <c r="E38" i="78"/>
  <c r="F38" i="78" s="1"/>
  <c r="E64" i="78"/>
  <c r="F64" i="78" s="1"/>
  <c r="E23" i="90"/>
  <c r="F23" i="90" s="1"/>
  <c r="E33" i="93"/>
  <c r="F33" i="93" s="1"/>
  <c r="E39" i="93"/>
  <c r="F39" i="93" s="1"/>
  <c r="E65" i="93"/>
  <c r="F65" i="93" s="1"/>
  <c r="E36" i="78"/>
  <c r="F36" i="78" s="1"/>
  <c r="E60" i="78"/>
  <c r="F60" i="78" s="1"/>
  <c r="E19" i="90"/>
  <c r="F19" i="90" s="1"/>
  <c r="E32" i="78"/>
  <c r="F32" i="78" s="1"/>
  <c r="E72" i="78"/>
  <c r="F72" i="78" s="1"/>
  <c r="E9" i="79"/>
  <c r="F9" i="79" s="1"/>
  <c r="E15" i="104"/>
  <c r="F15" i="104" s="1"/>
  <c r="A15" i="104" s="1"/>
  <c r="E17" i="104"/>
  <c r="F17" i="104" s="1"/>
  <c r="M15" i="104"/>
  <c r="E22" i="78"/>
  <c r="F22" i="78" s="1"/>
  <c r="E24" i="78"/>
  <c r="F24" i="78" s="1"/>
  <c r="E28" i="78"/>
  <c r="F28" i="78" s="1"/>
  <c r="E76" i="78"/>
  <c r="F76" i="78" s="1"/>
  <c r="E78" i="78"/>
  <c r="F78" i="78" s="1"/>
  <c r="E80" i="78"/>
  <c r="F80" i="78" s="1"/>
  <c r="E84" i="78"/>
  <c r="F84" i="78" s="1"/>
  <c r="E11" i="78"/>
  <c r="F11" i="78" s="1"/>
  <c r="E15" i="78"/>
  <c r="F15" i="78" s="1"/>
  <c r="A15" i="78" s="1"/>
  <c r="E44" i="78"/>
  <c r="F44" i="78" s="1"/>
  <c r="E48" i="78"/>
  <c r="F48" i="78" s="1"/>
  <c r="E52" i="78"/>
  <c r="F52" i="78" s="1"/>
  <c r="E54" i="78"/>
  <c r="F54" i="78" s="1"/>
  <c r="N11" i="78"/>
  <c r="N22" i="78"/>
  <c r="N38" i="78"/>
  <c r="N54" i="78"/>
  <c r="N66" i="78"/>
  <c r="N78" i="78"/>
  <c r="N15" i="78"/>
  <c r="E26" i="78"/>
  <c r="F26" i="78" s="1"/>
  <c r="E46" i="78"/>
  <c r="F46" i="78" s="1"/>
  <c r="E50" i="78"/>
  <c r="F50" i="78" s="1"/>
  <c r="E62" i="78"/>
  <c r="F62" i="78" s="1"/>
  <c r="E70" i="78"/>
  <c r="F70" i="78" s="1"/>
  <c r="E82" i="78"/>
  <c r="F82" i="78" s="1"/>
  <c r="E10" i="93"/>
  <c r="F10" i="93" s="1"/>
  <c r="E71" i="93"/>
  <c r="F71" i="93" s="1"/>
  <c r="E14" i="93"/>
  <c r="F14" i="93" s="1"/>
  <c r="E18" i="93"/>
  <c r="F18" i="93" s="1"/>
  <c r="E43" i="93"/>
  <c r="F43" i="93" s="1"/>
  <c r="E53" i="93"/>
  <c r="F53" i="93" s="1"/>
  <c r="E67" i="93"/>
  <c r="F67" i="93" s="1"/>
  <c r="E87" i="93"/>
  <c r="F87" i="93" s="1"/>
  <c r="E16" i="93"/>
  <c r="F16" i="93" s="1"/>
  <c r="E25" i="93"/>
  <c r="F25" i="93" s="1"/>
  <c r="E31" i="93"/>
  <c r="F31" i="93" s="1"/>
  <c r="E35" i="93"/>
  <c r="F35" i="93" s="1"/>
  <c r="E55" i="93"/>
  <c r="F55" i="93" s="1"/>
  <c r="E59" i="93"/>
  <c r="F59" i="93" s="1"/>
  <c r="E73" i="93"/>
  <c r="F73" i="93" s="1"/>
  <c r="E79" i="93"/>
  <c r="F79" i="93" s="1"/>
  <c r="M61" i="93"/>
  <c r="E51" i="93"/>
  <c r="F51" i="93" s="1"/>
  <c r="E69" i="93"/>
  <c r="F69" i="93" s="1"/>
  <c r="E75" i="93"/>
  <c r="F75" i="93" s="1"/>
  <c r="E85" i="93"/>
  <c r="F85" i="93" s="1"/>
  <c r="M53" i="93"/>
  <c r="M65" i="93"/>
  <c r="M69" i="93"/>
  <c r="M73" i="93"/>
  <c r="M85" i="93"/>
  <c r="E12" i="93"/>
  <c r="F12" i="93" s="1"/>
  <c r="A12" i="93" s="1"/>
  <c r="E37" i="93"/>
  <c r="F37" i="93" s="1"/>
  <c r="E49" i="93"/>
  <c r="F49" i="93" s="1"/>
  <c r="M14" i="93"/>
  <c r="M25" i="93"/>
  <c r="M29" i="93"/>
  <c r="N16" i="93"/>
  <c r="E27" i="90"/>
  <c r="F27" i="90" s="1"/>
  <c r="E35" i="90"/>
  <c r="F35" i="90" s="1"/>
  <c r="E15" i="90"/>
  <c r="F15" i="90" s="1"/>
  <c r="A15" i="90" s="1"/>
  <c r="N33" i="90"/>
  <c r="E25" i="90"/>
  <c r="F25" i="90" s="1"/>
  <c r="E29" i="90"/>
  <c r="F29" i="90" s="1"/>
  <c r="E21" i="82"/>
  <c r="F21" i="82" s="1"/>
  <c r="E23" i="82"/>
  <c r="F23" i="82" s="1"/>
  <c r="E19" i="82"/>
  <c r="F19" i="82" s="1"/>
  <c r="E44" i="82"/>
  <c r="F44" i="82" s="1"/>
  <c r="E17" i="82"/>
  <c r="F17" i="82" s="1"/>
  <c r="E35" i="82"/>
  <c r="F35" i="82" s="1"/>
  <c r="E42" i="82"/>
  <c r="F42" i="82" s="1"/>
  <c r="E11" i="82"/>
  <c r="F11" i="82" s="1"/>
  <c r="E15" i="82"/>
  <c r="F15" i="82" s="1"/>
  <c r="E31" i="82"/>
  <c r="F31" i="82" s="1"/>
  <c r="E39" i="82"/>
  <c r="F39" i="82" s="1"/>
  <c r="E52" i="82"/>
  <c r="F52" i="82" s="1"/>
  <c r="N11" i="82"/>
  <c r="N13" i="82"/>
  <c r="N21" i="82"/>
  <c r="N25" i="82"/>
  <c r="E33" i="82"/>
  <c r="F33" i="82" s="1"/>
  <c r="N42" i="82"/>
  <c r="N31" i="82"/>
  <c r="N35" i="82"/>
  <c r="N39" i="82"/>
  <c r="E46" i="82"/>
  <c r="F46" i="82" s="1"/>
  <c r="E50" i="82"/>
  <c r="F50" i="82" s="1"/>
  <c r="N17" i="82"/>
  <c r="A19" i="110"/>
  <c r="E13" i="79"/>
  <c r="F13" i="79" s="1"/>
  <c r="M11" i="79"/>
  <c r="E15" i="79"/>
  <c r="F15" i="79" s="1"/>
  <c r="E17" i="79"/>
  <c r="F17" i="79" s="1"/>
  <c r="M9" i="79"/>
  <c r="K11" i="79"/>
  <c r="N13" i="79"/>
  <c r="N11" i="79"/>
  <c r="M15" i="79"/>
  <c r="G41" i="110" l="1"/>
  <c r="H41" i="110" s="1"/>
  <c r="O37" i="110"/>
  <c r="G37" i="110"/>
  <c r="H37" i="110" s="1"/>
  <c r="O13" i="110"/>
  <c r="G13" i="110"/>
  <c r="H13" i="110" s="1"/>
  <c r="E11" i="104"/>
  <c r="F11" i="104" s="1"/>
  <c r="A17" i="104"/>
  <c r="E34" i="78"/>
  <c r="F34" i="78" s="1"/>
  <c r="E40" i="78"/>
  <c r="F40" i="78" s="1"/>
  <c r="E56" i="78"/>
  <c r="F56" i="78" s="1"/>
  <c r="E63" i="93"/>
  <c r="F63" i="93" s="1"/>
  <c r="E77" i="93"/>
  <c r="F77" i="93" s="1"/>
  <c r="E27" i="93"/>
  <c r="F27" i="93" s="1"/>
  <c r="E47" i="93"/>
  <c r="F47" i="93" s="1"/>
  <c r="E81" i="93"/>
  <c r="F81" i="93" s="1"/>
  <c r="E41" i="93"/>
  <c r="F41" i="93" s="1"/>
  <c r="E20" i="93"/>
  <c r="F20" i="93" s="1"/>
  <c r="E13" i="82"/>
  <c r="F13" i="82" s="1"/>
  <c r="A13" i="82" s="1"/>
  <c r="E37" i="82"/>
  <c r="F37" i="82" s="1"/>
  <c r="E48" i="82"/>
  <c r="F48" i="82" s="1"/>
  <c r="E25" i="82"/>
  <c r="F25" i="82" s="1"/>
  <c r="A15" i="82"/>
  <c r="A17" i="82" s="1"/>
  <c r="A19" i="82" s="1"/>
  <c r="E31" i="90"/>
  <c r="F31" i="90" s="1"/>
  <c r="E21" i="90"/>
  <c r="F21" i="90" s="1"/>
  <c r="E11" i="90"/>
  <c r="F11" i="90" s="1"/>
  <c r="A14" i="93"/>
  <c r="A16" i="93" s="1"/>
  <c r="A18" i="93" s="1"/>
  <c r="A13" i="79"/>
  <c r="A15" i="79" s="1"/>
  <c r="A17" i="79" s="1"/>
  <c r="A19" i="90"/>
  <c r="A22" i="78"/>
  <c r="A21" i="110"/>
  <c r="A21" i="90" l="1"/>
  <c r="A23" i="90" s="1"/>
  <c r="A24" i="78"/>
  <c r="A20" i="93"/>
  <c r="A25" i="93" s="1"/>
  <c r="A21" i="82"/>
  <c r="A23" i="110"/>
  <c r="A25" i="110" s="1"/>
  <c r="A26" i="78" l="1"/>
  <c r="A27" i="93"/>
  <c r="A29" i="93" s="1"/>
  <c r="A31" i="93" s="1"/>
  <c r="A25" i="90"/>
  <c r="A23" i="82"/>
  <c r="A27" i="110"/>
  <c r="A28" i="78" l="1"/>
  <c r="A32" i="78" s="1"/>
  <c r="A33" i="93"/>
  <c r="A35" i="93" s="1"/>
  <c r="A37" i="93" s="1"/>
  <c r="A39" i="93" s="1"/>
  <c r="A41" i="93" s="1"/>
  <c r="A43" i="93" s="1"/>
  <c r="A47" i="93" s="1"/>
  <c r="A49" i="93" s="1"/>
  <c r="A51" i="93" s="1"/>
  <c r="A53" i="93" s="1"/>
  <c r="A55" i="93" s="1"/>
  <c r="A59" i="93" s="1"/>
  <c r="A61" i="93" s="1"/>
  <c r="A63" i="93" s="1"/>
  <c r="A65" i="93" s="1"/>
  <c r="A67" i="93" s="1"/>
  <c r="A69" i="93" s="1"/>
  <c r="A71" i="93" s="1"/>
  <c r="A73" i="93" s="1"/>
  <c r="A75" i="93" s="1"/>
  <c r="A77" i="93" s="1"/>
  <c r="A79" i="93" s="1"/>
  <c r="A81" i="93" s="1"/>
  <c r="A85" i="93" s="1"/>
  <c r="A87" i="93" s="1"/>
  <c r="A27" i="90"/>
  <c r="A29" i="90" s="1"/>
  <c r="A31" i="90" s="1"/>
  <c r="A25" i="82"/>
  <c r="A31" i="110"/>
  <c r="A34" i="78" l="1"/>
  <c r="A33" i="90"/>
  <c r="A35" i="90" s="1"/>
  <c r="A31" i="82"/>
  <c r="A33" i="82" s="1"/>
  <c r="A35" i="82" s="1"/>
  <c r="A33" i="110"/>
  <c r="A37" i="82" l="1"/>
  <c r="A39" i="82" s="1"/>
  <c r="A36" i="78"/>
  <c r="A35" i="110"/>
  <c r="A37" i="110" s="1"/>
  <c r="A39" i="110" s="1"/>
  <c r="A41" i="110" s="1"/>
  <c r="A43" i="110" s="1"/>
  <c r="A42" i="82" l="1"/>
  <c r="A44" i="82" s="1"/>
  <c r="A46" i="82" s="1"/>
  <c r="A48" i="82" s="1"/>
  <c r="A38" i="78"/>
  <c r="A50" i="82" l="1"/>
  <c r="A52" i="82" s="1"/>
  <c r="A40" i="78"/>
  <c r="A44" i="78" s="1"/>
  <c r="A46" i="78" l="1"/>
  <c r="A48" i="78" s="1"/>
  <c r="A50" i="78" s="1"/>
  <c r="A52" i="78" s="1"/>
  <c r="A54" i="78" s="1"/>
  <c r="A56" i="78" s="1"/>
  <c r="A60" i="78" s="1"/>
  <c r="A62" i="78" s="1"/>
  <c r="A64" i="78" s="1"/>
  <c r="A66" i="78" s="1"/>
  <c r="A68" i="78" s="1"/>
  <c r="A70" i="78" s="1"/>
  <c r="A72" i="78" s="1"/>
  <c r="A76" i="78" s="1"/>
  <c r="A78" i="78" s="1"/>
  <c r="A80" i="78" s="1"/>
  <c r="A82" i="78" s="1"/>
  <c r="A84" i="78" s="1"/>
  <c r="L13" i="92" l="1"/>
  <c r="K13" i="92"/>
  <c r="J13" i="92"/>
  <c r="N13" i="92" s="1"/>
  <c r="I13" i="92"/>
  <c r="M13" i="92" s="1"/>
  <c r="L11" i="92"/>
  <c r="K11" i="92"/>
  <c r="J11" i="92"/>
  <c r="N11" i="92" s="1"/>
  <c r="I11" i="92"/>
  <c r="M11" i="92" s="1"/>
  <c r="N8" i="92"/>
  <c r="L17" i="92"/>
  <c r="K17" i="92"/>
  <c r="J17" i="92"/>
  <c r="N17" i="92" s="1"/>
  <c r="I17" i="92"/>
  <c r="M17" i="92" s="1"/>
  <c r="L19" i="92"/>
  <c r="K19" i="92"/>
  <c r="J19" i="92"/>
  <c r="N19" i="92" s="1"/>
  <c r="I19" i="92"/>
  <c r="M19" i="92" s="1"/>
  <c r="N9" i="91"/>
  <c r="M9" i="91"/>
  <c r="J9" i="91"/>
  <c r="I9" i="91"/>
  <c r="A9" i="91"/>
  <c r="L11" i="91"/>
  <c r="K11" i="91"/>
  <c r="J11" i="91"/>
  <c r="I11" i="91"/>
  <c r="M11" i="91" s="1"/>
  <c r="N17" i="91"/>
  <c r="M17" i="91"/>
  <c r="J17" i="91"/>
  <c r="I17" i="91"/>
  <c r="A17" i="91"/>
  <c r="C16" i="106"/>
  <c r="L25" i="77"/>
  <c r="K25" i="77"/>
  <c r="J25" i="77"/>
  <c r="N25" i="77" s="1"/>
  <c r="I25" i="77"/>
  <c r="M25" i="77" s="1"/>
  <c r="L21" i="77"/>
  <c r="K21" i="77"/>
  <c r="J21" i="77"/>
  <c r="N21" i="77" s="1"/>
  <c r="I21" i="77"/>
  <c r="M21" i="77" s="1"/>
  <c r="L19" i="77"/>
  <c r="K19" i="77"/>
  <c r="J19" i="77"/>
  <c r="N19" i="77" s="1"/>
  <c r="I19" i="77"/>
  <c r="M19" i="77" s="1"/>
  <c r="N17" i="77"/>
  <c r="M17" i="77"/>
  <c r="J17" i="77"/>
  <c r="I17" i="77"/>
  <c r="L15" i="77"/>
  <c r="K15" i="77"/>
  <c r="J15" i="77"/>
  <c r="N15" i="77" s="1"/>
  <c r="I15" i="77"/>
  <c r="M15" i="77" s="1"/>
  <c r="L13" i="77"/>
  <c r="K13" i="77"/>
  <c r="J13" i="77"/>
  <c r="N13" i="77" s="1"/>
  <c r="I13" i="77"/>
  <c r="L11" i="77"/>
  <c r="K11" i="77"/>
  <c r="J11" i="77"/>
  <c r="N11" i="77" s="1"/>
  <c r="I11" i="77"/>
  <c r="M11" i="77" s="1"/>
  <c r="N10" i="77"/>
  <c r="N9" i="77"/>
  <c r="L17" i="101"/>
  <c r="K17" i="101"/>
  <c r="J17" i="101"/>
  <c r="N17" i="101" s="1"/>
  <c r="I17" i="101"/>
  <c r="M17" i="101" s="1"/>
  <c r="A16" i="101"/>
  <c r="L15" i="101"/>
  <c r="K15" i="101"/>
  <c r="J15" i="101"/>
  <c r="N15" i="101" s="1"/>
  <c r="I15" i="101"/>
  <c r="M15" i="101" s="1"/>
  <c r="N14" i="101"/>
  <c r="J14" i="101"/>
  <c r="I14" i="101"/>
  <c r="A14" i="101"/>
  <c r="L13" i="101"/>
  <c r="K13" i="101"/>
  <c r="J13" i="101"/>
  <c r="I13" i="101"/>
  <c r="M13" i="101" s="1"/>
  <c r="N12" i="101"/>
  <c r="J12" i="101"/>
  <c r="I12" i="101"/>
  <c r="L11" i="101"/>
  <c r="K11" i="101"/>
  <c r="J11" i="101"/>
  <c r="I11" i="101"/>
  <c r="M11" i="101" s="1"/>
  <c r="N10" i="101"/>
  <c r="N9" i="101"/>
  <c r="N8" i="101"/>
  <c r="C19" i="100"/>
  <c r="C17" i="100"/>
  <c r="L25" i="100"/>
  <c r="K25" i="100"/>
  <c r="J25" i="100"/>
  <c r="N25" i="100" s="1"/>
  <c r="I25" i="100"/>
  <c r="M25" i="100" s="1"/>
  <c r="L23" i="100"/>
  <c r="K23" i="100"/>
  <c r="J23" i="100"/>
  <c r="N23" i="100" s="1"/>
  <c r="I23" i="100"/>
  <c r="M23" i="100" s="1"/>
  <c r="L21" i="100"/>
  <c r="K21" i="100"/>
  <c r="J21" i="100"/>
  <c r="I21" i="100"/>
  <c r="M21" i="100" s="1"/>
  <c r="C11" i="100"/>
  <c r="C13" i="100" s="1"/>
  <c r="N8" i="100"/>
  <c r="D39" i="109"/>
  <c r="E13" i="92" l="1"/>
  <c r="F13" i="92" s="1"/>
  <c r="A13" i="92" s="1"/>
  <c r="E11" i="92"/>
  <c r="F11" i="92" s="1"/>
  <c r="E17" i="92"/>
  <c r="F17" i="92" s="1"/>
  <c r="E19" i="92"/>
  <c r="F19" i="92" s="1"/>
  <c r="E11" i="91"/>
  <c r="F11" i="91" s="1"/>
  <c r="N11" i="91"/>
  <c r="E25" i="77"/>
  <c r="F25" i="77" s="1"/>
  <c r="E21" i="77"/>
  <c r="F21" i="77" s="1"/>
  <c r="E19" i="77"/>
  <c r="F19" i="77" s="1"/>
  <c r="E13" i="77"/>
  <c r="F13" i="77" s="1"/>
  <c r="A13" i="77" s="1"/>
  <c r="E15" i="77"/>
  <c r="F15" i="77" s="1"/>
  <c r="E11" i="77"/>
  <c r="F11" i="77" s="1"/>
  <c r="M13" i="77"/>
  <c r="E13" i="101"/>
  <c r="F13" i="101" s="1"/>
  <c r="A13" i="101" s="1"/>
  <c r="E11" i="101"/>
  <c r="F11" i="101" s="1"/>
  <c r="E17" i="101"/>
  <c r="F17" i="101" s="1"/>
  <c r="N11" i="101"/>
  <c r="N13" i="101"/>
  <c r="E15" i="101"/>
  <c r="F15" i="101" s="1"/>
  <c r="E25" i="100"/>
  <c r="F25" i="100" s="1"/>
  <c r="E23" i="100"/>
  <c r="F23" i="100" s="1"/>
  <c r="E21" i="100"/>
  <c r="F21" i="100" s="1"/>
  <c r="N21" i="100"/>
  <c r="A18" i="104"/>
  <c r="A86" i="78"/>
  <c r="L31" i="77"/>
  <c r="K31" i="77"/>
  <c r="J31" i="77"/>
  <c r="N31" i="77" s="1"/>
  <c r="I31" i="77"/>
  <c r="M31" i="77" s="1"/>
  <c r="L27" i="77"/>
  <c r="K27" i="77"/>
  <c r="J27" i="77"/>
  <c r="N27" i="77" s="1"/>
  <c r="I27" i="77"/>
  <c r="M27" i="77" s="1"/>
  <c r="A14" i="105"/>
  <c r="A16" i="105"/>
  <c r="A18" i="105"/>
  <c r="A20" i="105"/>
  <c r="A22" i="105"/>
  <c r="A23" i="105"/>
  <c r="A24" i="105"/>
  <c r="A26" i="105"/>
  <c r="A28" i="105"/>
  <c r="A30" i="105"/>
  <c r="A31" i="105"/>
  <c r="A32" i="105"/>
  <c r="A34" i="105"/>
  <c r="A36" i="105"/>
  <c r="A37" i="105"/>
  <c r="A38" i="105"/>
  <c r="A40" i="105"/>
  <c r="L41" i="105"/>
  <c r="K41" i="105"/>
  <c r="J41" i="105"/>
  <c r="I41" i="105"/>
  <c r="M41" i="105" s="1"/>
  <c r="L39" i="105"/>
  <c r="K39" i="105"/>
  <c r="J39" i="105"/>
  <c r="N39" i="105" s="1"/>
  <c r="I39" i="105"/>
  <c r="M39" i="105" s="1"/>
  <c r="L35" i="105"/>
  <c r="K35" i="105"/>
  <c r="J35" i="105"/>
  <c r="N35" i="105" s="1"/>
  <c r="I35" i="105"/>
  <c r="M35" i="105" s="1"/>
  <c r="L33" i="105"/>
  <c r="K33" i="105"/>
  <c r="J33" i="105"/>
  <c r="I33" i="105"/>
  <c r="M33" i="105" s="1"/>
  <c r="L29" i="105"/>
  <c r="K29" i="105"/>
  <c r="J29" i="105"/>
  <c r="N29" i="105" s="1"/>
  <c r="I29" i="105"/>
  <c r="M29" i="105" s="1"/>
  <c r="L27" i="105"/>
  <c r="K27" i="105"/>
  <c r="J27" i="105"/>
  <c r="N27" i="105" s="1"/>
  <c r="I27" i="105"/>
  <c r="M27" i="105" s="1"/>
  <c r="L25" i="105"/>
  <c r="K25" i="105"/>
  <c r="J25" i="105"/>
  <c r="N25" i="105" s="1"/>
  <c r="I25" i="105"/>
  <c r="M25" i="105" s="1"/>
  <c r="L21" i="105"/>
  <c r="K21" i="105"/>
  <c r="J21" i="105"/>
  <c r="N21" i="105" s="1"/>
  <c r="I21" i="105"/>
  <c r="M21" i="105" s="1"/>
  <c r="A26" i="107"/>
  <c r="A27" i="107"/>
  <c r="A28" i="107"/>
  <c r="L29" i="107"/>
  <c r="K29" i="107"/>
  <c r="J29" i="107"/>
  <c r="N29" i="107" s="1"/>
  <c r="I29" i="107"/>
  <c r="M29" i="107" s="1"/>
  <c r="L25" i="107"/>
  <c r="K25" i="107"/>
  <c r="J25" i="107"/>
  <c r="N25" i="107" s="1"/>
  <c r="I25" i="107"/>
  <c r="M25" i="107" s="1"/>
  <c r="L23" i="107"/>
  <c r="K23" i="107"/>
  <c r="J23" i="107"/>
  <c r="N23" i="107" s="1"/>
  <c r="I23" i="107"/>
  <c r="M23" i="107" s="1"/>
  <c r="L21" i="107"/>
  <c r="K21" i="107"/>
  <c r="J21" i="107"/>
  <c r="N21" i="107" s="1"/>
  <c r="I21" i="107"/>
  <c r="M21" i="107" s="1"/>
  <c r="L19" i="107"/>
  <c r="K19" i="107"/>
  <c r="J19" i="107"/>
  <c r="I19" i="107"/>
  <c r="M19" i="107" s="1"/>
  <c r="L17" i="107"/>
  <c r="K17" i="107"/>
  <c r="J17" i="107"/>
  <c r="N17" i="107" s="1"/>
  <c r="I17" i="107"/>
  <c r="M17" i="107" s="1"/>
  <c r="L15" i="107"/>
  <c r="K15" i="107"/>
  <c r="J15" i="107"/>
  <c r="N15" i="107" s="1"/>
  <c r="I15" i="107"/>
  <c r="M15" i="107" s="1"/>
  <c r="A18" i="101"/>
  <c r="A19" i="101"/>
  <c r="A20" i="101"/>
  <c r="A22" i="101"/>
  <c r="A24" i="101"/>
  <c r="A26" i="101"/>
  <c r="A28" i="101"/>
  <c r="A30" i="101"/>
  <c r="A31" i="101"/>
  <c r="A32" i="101"/>
  <c r="A34" i="101"/>
  <c r="A36" i="101"/>
  <c r="A37" i="101"/>
  <c r="A38" i="101"/>
  <c r="A40" i="101"/>
  <c r="A42" i="101"/>
  <c r="A44" i="101"/>
  <c r="A45" i="101"/>
  <c r="A46" i="101"/>
  <c r="A48" i="101"/>
  <c r="A50" i="101"/>
  <c r="L51" i="101"/>
  <c r="K51" i="101"/>
  <c r="J51" i="101"/>
  <c r="I51" i="101"/>
  <c r="M51" i="101" s="1"/>
  <c r="L49" i="101"/>
  <c r="K49" i="101"/>
  <c r="J49" i="101"/>
  <c r="N49" i="101" s="1"/>
  <c r="I49" i="101"/>
  <c r="M49" i="101" s="1"/>
  <c r="L47" i="101"/>
  <c r="K47" i="101"/>
  <c r="J47" i="101"/>
  <c r="N47" i="101" s="1"/>
  <c r="I47" i="101"/>
  <c r="M47" i="101" s="1"/>
  <c r="M53" i="101" s="1"/>
  <c r="L43" i="101"/>
  <c r="K43" i="101"/>
  <c r="J43" i="101"/>
  <c r="I43" i="101"/>
  <c r="M43" i="101" s="1"/>
  <c r="L41" i="101"/>
  <c r="K41" i="101"/>
  <c r="J41" i="101"/>
  <c r="N41" i="101" s="1"/>
  <c r="I41" i="101"/>
  <c r="M41" i="101" s="1"/>
  <c r="L39" i="101"/>
  <c r="K39" i="101"/>
  <c r="J39" i="101"/>
  <c r="N39" i="101" s="1"/>
  <c r="I39" i="101"/>
  <c r="M39" i="101" s="1"/>
  <c r="L35" i="101"/>
  <c r="K35" i="101"/>
  <c r="J35" i="101"/>
  <c r="N35" i="101" s="1"/>
  <c r="I35" i="101"/>
  <c r="M35" i="101" s="1"/>
  <c r="L33" i="101"/>
  <c r="K33" i="101"/>
  <c r="J33" i="101"/>
  <c r="I33" i="101"/>
  <c r="M33" i="101" s="1"/>
  <c r="L29" i="101"/>
  <c r="K29" i="101"/>
  <c r="J29" i="101"/>
  <c r="N29" i="101" s="1"/>
  <c r="I29" i="101"/>
  <c r="M29" i="101" s="1"/>
  <c r="L27" i="101"/>
  <c r="K27" i="101"/>
  <c r="J27" i="101"/>
  <c r="I27" i="101"/>
  <c r="M27" i="101" s="1"/>
  <c r="L25" i="101"/>
  <c r="K25" i="101"/>
  <c r="J25" i="101"/>
  <c r="N25" i="101" s="1"/>
  <c r="I25" i="101"/>
  <c r="M25" i="101" s="1"/>
  <c r="L23" i="101"/>
  <c r="K23" i="101"/>
  <c r="J23" i="101"/>
  <c r="N23" i="101" s="1"/>
  <c r="I23" i="101"/>
  <c r="M23" i="101" s="1"/>
  <c r="L21" i="101"/>
  <c r="K21" i="101"/>
  <c r="J21" i="101"/>
  <c r="I21" i="101"/>
  <c r="M21" i="101" s="1"/>
  <c r="A16" i="100"/>
  <c r="A14" i="100"/>
  <c r="A15" i="100"/>
  <c r="A9" i="100"/>
  <c r="A10" i="100"/>
  <c r="A12" i="100"/>
  <c r="J29" i="100"/>
  <c r="I29" i="100"/>
  <c r="J27" i="100"/>
  <c r="I27" i="100"/>
  <c r="J19" i="100"/>
  <c r="I19" i="100"/>
  <c r="J17" i="100"/>
  <c r="I17" i="100"/>
  <c r="B2" i="95"/>
  <c r="A17" i="92" l="1"/>
  <c r="A19" i="92" s="1"/>
  <c r="A15" i="77"/>
  <c r="A15" i="101"/>
  <c r="A17" i="101" s="1"/>
  <c r="E41" i="101"/>
  <c r="F41" i="101" s="1"/>
  <c r="E23" i="101"/>
  <c r="F23" i="101" s="1"/>
  <c r="E29" i="105"/>
  <c r="F29" i="105" s="1"/>
  <c r="E27" i="77"/>
  <c r="F27" i="77" s="1"/>
  <c r="E39" i="105"/>
  <c r="F39" i="105" s="1"/>
  <c r="E35" i="105"/>
  <c r="F35" i="105" s="1"/>
  <c r="E27" i="105"/>
  <c r="F27" i="105" s="1"/>
  <c r="E25" i="105"/>
  <c r="F25" i="105" s="1"/>
  <c r="E25" i="107"/>
  <c r="F25" i="107" s="1"/>
  <c r="E23" i="107"/>
  <c r="F23" i="107" s="1"/>
  <c r="E21" i="107"/>
  <c r="F21" i="107" s="1"/>
  <c r="E15" i="107"/>
  <c r="F15" i="107" s="1"/>
  <c r="E47" i="101"/>
  <c r="F47" i="101" s="1"/>
  <c r="F53" i="101" s="1"/>
  <c r="E39" i="101"/>
  <c r="F39" i="101" s="1"/>
  <c r="N43" i="101"/>
  <c r="E43" i="101"/>
  <c r="F43" i="101" s="1"/>
  <c r="E29" i="107"/>
  <c r="F29" i="107" s="1"/>
  <c r="E21" i="105"/>
  <c r="F21" i="105" s="1"/>
  <c r="N41" i="105"/>
  <c r="E41" i="105"/>
  <c r="F41" i="105" s="1"/>
  <c r="N19" i="107"/>
  <c r="E19" i="107"/>
  <c r="F19" i="107" s="1"/>
  <c r="N33" i="105"/>
  <c r="E33" i="105"/>
  <c r="F33" i="105" s="1"/>
  <c r="N27" i="101"/>
  <c r="E27" i="101"/>
  <c r="F27" i="101" s="1"/>
  <c r="N33" i="101"/>
  <c r="E33" i="101"/>
  <c r="F33" i="101" s="1"/>
  <c r="N51" i="101"/>
  <c r="E51" i="101"/>
  <c r="F51" i="101" s="1"/>
  <c r="E17" i="107"/>
  <c r="F17" i="107" s="1"/>
  <c r="N21" i="101"/>
  <c r="E21" i="101"/>
  <c r="F21" i="101" s="1"/>
  <c r="E25" i="101"/>
  <c r="F25" i="101" s="1"/>
  <c r="E49" i="101"/>
  <c r="F49" i="101" s="1"/>
  <c r="E31" i="77"/>
  <c r="F31" i="77" s="1"/>
  <c r="E35" i="101"/>
  <c r="F35" i="101" s="1"/>
  <c r="E29" i="101"/>
  <c r="F29" i="101" s="1"/>
  <c r="E27" i="100"/>
  <c r="E17" i="100"/>
  <c r="E19" i="100"/>
  <c r="E29" i="100"/>
  <c r="A19" i="77" l="1"/>
  <c r="A21" i="77" s="1"/>
  <c r="J20" i="92"/>
  <c r="J21" i="92"/>
  <c r="A22" i="92"/>
  <c r="J22" i="92"/>
  <c r="A25" i="77" l="1"/>
  <c r="K17" i="100"/>
  <c r="L17" i="100"/>
  <c r="M17" i="100"/>
  <c r="N17" i="100"/>
  <c r="F17" i="100"/>
  <c r="K19" i="100"/>
  <c r="L19" i="100"/>
  <c r="N19" i="100"/>
  <c r="M19" i="100"/>
  <c r="F19" i="100"/>
  <c r="K27" i="100"/>
  <c r="L27" i="100"/>
  <c r="N27" i="100"/>
  <c r="M27" i="100"/>
  <c r="F27" i="100"/>
  <c r="K29" i="100"/>
  <c r="L29" i="100"/>
  <c r="M29" i="100"/>
  <c r="N29" i="100"/>
  <c r="F29" i="100"/>
  <c r="AG13" i="107"/>
  <c r="S4" i="110"/>
  <c r="R4" i="110"/>
  <c r="R5" i="110"/>
  <c r="S5" i="110"/>
  <c r="L21" i="91"/>
  <c r="A9" i="107"/>
  <c r="Z9" i="107"/>
  <c r="M40" i="111"/>
  <c r="M39" i="111"/>
  <c r="M38" i="111"/>
  <c r="M37" i="111"/>
  <c r="M36" i="111"/>
  <c r="AF13" i="107" s="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I33" i="100"/>
  <c r="AH13" i="107"/>
  <c r="I11" i="100"/>
  <c r="D4" i="111"/>
  <c r="D6" i="111"/>
  <c r="D8" i="111"/>
  <c r="J86" i="78"/>
  <c r="J87" i="78"/>
  <c r="A88" i="78"/>
  <c r="J88" i="78"/>
  <c r="L16" i="106"/>
  <c r="J16" i="106"/>
  <c r="N16" i="106" s="1"/>
  <c r="L11" i="106"/>
  <c r="J11" i="106"/>
  <c r="N11" i="106" s="1"/>
  <c r="J21" i="91"/>
  <c r="J19" i="91"/>
  <c r="J15" i="91"/>
  <c r="J13" i="91"/>
  <c r="I23" i="77"/>
  <c r="J23" i="77"/>
  <c r="M23" i="77"/>
  <c r="N23" i="77"/>
  <c r="K44" i="110"/>
  <c r="L44" i="110"/>
  <c r="I34" i="105"/>
  <c r="J34" i="105"/>
  <c r="I36" i="105"/>
  <c r="J36" i="105"/>
  <c r="I37" i="105"/>
  <c r="J37" i="105"/>
  <c r="I38" i="105"/>
  <c r="J38" i="105"/>
  <c r="I40" i="105"/>
  <c r="J40" i="105"/>
  <c r="I42" i="105"/>
  <c r="J42" i="105"/>
  <c r="J19" i="105"/>
  <c r="J17" i="105"/>
  <c r="J15" i="105"/>
  <c r="J13" i="105"/>
  <c r="N13" i="105" s="1"/>
  <c r="L11" i="105"/>
  <c r="J11" i="105"/>
  <c r="N11" i="105" s="1"/>
  <c r="N18" i="101"/>
  <c r="M37" i="101"/>
  <c r="N37" i="101"/>
  <c r="N38" i="101"/>
  <c r="N40" i="101"/>
  <c r="N46" i="101"/>
  <c r="N48" i="101"/>
  <c r="I18" i="101"/>
  <c r="J18" i="101"/>
  <c r="I37" i="101"/>
  <c r="J37" i="101"/>
  <c r="I38" i="101"/>
  <c r="J38" i="101"/>
  <c r="I40" i="101"/>
  <c r="J40" i="101"/>
  <c r="I45" i="101"/>
  <c r="J45" i="101"/>
  <c r="I46" i="101"/>
  <c r="J46" i="101"/>
  <c r="I48" i="101"/>
  <c r="J48" i="101"/>
  <c r="I9" i="100"/>
  <c r="J9" i="100"/>
  <c r="J11" i="100"/>
  <c r="I13" i="100"/>
  <c r="J13" i="100"/>
  <c r="I31" i="100"/>
  <c r="J31" i="100"/>
  <c r="J33" i="100"/>
  <c r="J35" i="100"/>
  <c r="G7" i="109"/>
  <c r="A12" i="105"/>
  <c r="L19" i="105"/>
  <c r="I11" i="105"/>
  <c r="I11" i="106"/>
  <c r="H7" i="109"/>
  <c r="I19" i="91"/>
  <c r="I17" i="105"/>
  <c r="I15" i="105"/>
  <c r="I13" i="105"/>
  <c r="I13" i="91"/>
  <c r="I16" i="106"/>
  <c r="M16" i="106" s="1"/>
  <c r="K16" i="106"/>
  <c r="K11" i="106"/>
  <c r="I15" i="91"/>
  <c r="I21" i="91"/>
  <c r="L33" i="100"/>
  <c r="N8" i="93"/>
  <c r="N8" i="82"/>
  <c r="N8" i="106"/>
  <c r="N14" i="92"/>
  <c r="N8" i="91"/>
  <c r="N8" i="90"/>
  <c r="N8" i="77"/>
  <c r="P9" i="110"/>
  <c r="N40" i="105"/>
  <c r="N8" i="105"/>
  <c r="N8" i="107"/>
  <c r="N34" i="100"/>
  <c r="N32" i="100"/>
  <c r="N31" i="100"/>
  <c r="N14" i="100"/>
  <c r="N10" i="100"/>
  <c r="N9" i="100"/>
  <c r="N8" i="79"/>
  <c r="J55" i="82"/>
  <c r="J19" i="106"/>
  <c r="J38" i="90"/>
  <c r="J34" i="77"/>
  <c r="L46" i="110"/>
  <c r="J32" i="107"/>
  <c r="J54" i="101"/>
  <c r="H32" i="97"/>
  <c r="H34" i="97"/>
  <c r="H35" i="97"/>
  <c r="H36" i="97"/>
  <c r="H37" i="97"/>
  <c r="J20" i="104"/>
  <c r="J19" i="104"/>
  <c r="J18" i="104"/>
  <c r="J90" i="93"/>
  <c r="J89" i="93"/>
  <c r="J88" i="93"/>
  <c r="J54" i="82"/>
  <c r="J53" i="82"/>
  <c r="J18" i="106"/>
  <c r="J23" i="91"/>
  <c r="J22" i="91"/>
  <c r="J37" i="90"/>
  <c r="J33" i="77"/>
  <c r="J32" i="77"/>
  <c r="L45" i="110"/>
  <c r="J44" i="105"/>
  <c r="J43" i="105"/>
  <c r="J31" i="107"/>
  <c r="J53" i="101"/>
  <c r="J18" i="79"/>
  <c r="A45" i="110"/>
  <c r="A44" i="110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A32" i="107"/>
  <c r="A30" i="107"/>
  <c r="J8" i="107"/>
  <c r="A8" i="107"/>
  <c r="H38" i="97"/>
  <c r="A52" i="101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20" i="104"/>
  <c r="A90" i="93"/>
  <c r="A55" i="82"/>
  <c r="A53" i="82"/>
  <c r="A19" i="106"/>
  <c r="A17" i="106"/>
  <c r="A15" i="106"/>
  <c r="A14" i="106"/>
  <c r="A13" i="106"/>
  <c r="A22" i="91"/>
  <c r="A38" i="90"/>
  <c r="A34" i="77"/>
  <c r="A44" i="105"/>
  <c r="A42" i="105"/>
  <c r="A18" i="79"/>
  <c r="H19" i="97"/>
  <c r="F19" i="97" s="1"/>
  <c r="A39" i="97"/>
  <c r="A54" i="101"/>
  <c r="H13" i="97"/>
  <c r="F13" i="97" s="1"/>
  <c r="H11" i="97"/>
  <c r="L35" i="100"/>
  <c r="B3" i="95"/>
  <c r="B3" i="107" s="1"/>
  <c r="B2" i="90"/>
  <c r="B2" i="106"/>
  <c r="B2" i="78"/>
  <c r="B2" i="101"/>
  <c r="B2" i="104"/>
  <c r="B2" i="82"/>
  <c r="B2" i="93"/>
  <c r="B2" i="100"/>
  <c r="B2" i="105"/>
  <c r="B2" i="110" s="1"/>
  <c r="B2" i="77"/>
  <c r="H9" i="97"/>
  <c r="F9" i="97"/>
  <c r="L5" i="109" a="1"/>
  <c r="G27" i="109" l="1"/>
  <c r="A27" i="77"/>
  <c r="A31" i="77" s="1"/>
  <c r="F27" i="109"/>
  <c r="B3" i="82"/>
  <c r="B3" i="101"/>
  <c r="B3" i="106"/>
  <c r="B3" i="97"/>
  <c r="B3" i="77"/>
  <c r="B3" i="100"/>
  <c r="B3" i="93"/>
  <c r="B3" i="91"/>
  <c r="B3" i="79"/>
  <c r="B3" i="90"/>
  <c r="B3" i="78"/>
  <c r="B3" i="104"/>
  <c r="B3" i="92"/>
  <c r="E13" i="91"/>
  <c r="M13" i="105"/>
  <c r="E15" i="91"/>
  <c r="G31" i="109"/>
  <c r="B3" i="105"/>
  <c r="B3" i="110" s="1"/>
  <c r="A15" i="107"/>
  <c r="A17" i="107" s="1"/>
  <c r="A19" i="107" s="1"/>
  <c r="N15" i="105"/>
  <c r="E21" i="91"/>
  <c r="F21" i="91" s="1"/>
  <c r="E19" i="91"/>
  <c r="B2" i="97"/>
  <c r="B2" i="107"/>
  <c r="B2" i="91"/>
  <c r="B2" i="79"/>
  <c r="B2" i="92"/>
  <c r="I7" i="109"/>
  <c r="F7" i="109"/>
  <c r="G17" i="109"/>
  <c r="L13" i="100"/>
  <c r="K13" i="100"/>
  <c r="K35" i="100"/>
  <c r="N35" i="100"/>
  <c r="M13" i="100"/>
  <c r="L11" i="100"/>
  <c r="N11" i="100"/>
  <c r="M33" i="100"/>
  <c r="N33" i="100"/>
  <c r="M11" i="100"/>
  <c r="E33" i="100"/>
  <c r="F33" i="100" s="1"/>
  <c r="K33" i="100"/>
  <c r="E13" i="100"/>
  <c r="F13" i="100" s="1"/>
  <c r="E11" i="100"/>
  <c r="F11" i="100" s="1"/>
  <c r="K11" i="100"/>
  <c r="I35" i="100"/>
  <c r="M35" i="100" s="1"/>
  <c r="N13" i="100"/>
  <c r="M17" i="105"/>
  <c r="K15" i="105"/>
  <c r="E15" i="105"/>
  <c r="F15" i="105" s="1"/>
  <c r="M15" i="105"/>
  <c r="L15" i="105"/>
  <c r="L13" i="105"/>
  <c r="K19" i="105"/>
  <c r="N17" i="105"/>
  <c r="L17" i="105"/>
  <c r="K13" i="105"/>
  <c r="E13" i="105"/>
  <c r="F13" i="105" s="1"/>
  <c r="A13" i="105" s="1"/>
  <c r="K11" i="105"/>
  <c r="I19" i="105"/>
  <c r="M19" i="105" s="1"/>
  <c r="M11" i="105"/>
  <c r="E11" i="105"/>
  <c r="F11" i="105" s="1"/>
  <c r="K17" i="105"/>
  <c r="E17" i="105"/>
  <c r="F17" i="105" s="1"/>
  <c r="N19" i="105"/>
  <c r="M21" i="91"/>
  <c r="N21" i="91"/>
  <c r="K21" i="91"/>
  <c r="I31" i="109"/>
  <c r="G29" i="109"/>
  <c r="I29" i="109"/>
  <c r="F29" i="109"/>
  <c r="M11" i="106"/>
  <c r="E11" i="106"/>
  <c r="F11" i="106" s="1"/>
  <c r="I27" i="109"/>
  <c r="E16" i="106"/>
  <c r="F16" i="106" s="1"/>
  <c r="A16" i="106" s="1"/>
  <c r="H25" i="109"/>
  <c r="I25" i="109"/>
  <c r="G25" i="109"/>
  <c r="F25" i="109"/>
  <c r="J13" i="107"/>
  <c r="AM13" i="107" s="1"/>
  <c r="AK13" i="107"/>
  <c r="L13" i="107"/>
  <c r="L31" i="107" s="1"/>
  <c r="AI13" i="107"/>
  <c r="AJ13" i="107"/>
  <c r="I13" i="107"/>
  <c r="M13" i="107" s="1"/>
  <c r="M31" i="107" s="1"/>
  <c r="K13" i="107"/>
  <c r="K31" i="107" s="1"/>
  <c r="L5" i="109"/>
  <c r="G35" i="109" l="1"/>
  <c r="D7" i="109"/>
  <c r="A15" i="105"/>
  <c r="A17" i="105" s="1"/>
  <c r="A21" i="107"/>
  <c r="A23" i="107" s="1"/>
  <c r="F11" i="97"/>
  <c r="A11" i="97" s="1"/>
  <c r="A13" i="97" s="1"/>
  <c r="N13" i="107"/>
  <c r="E35" i="100"/>
  <c r="F35" i="100" s="1"/>
  <c r="E19" i="105"/>
  <c r="F19" i="105" s="1"/>
  <c r="F43" i="105" s="1"/>
  <c r="I35" i="109"/>
  <c r="F35" i="109"/>
  <c r="H35" i="109"/>
  <c r="L15" i="91"/>
  <c r="H31" i="109"/>
  <c r="F31" i="109"/>
  <c r="H29" i="109"/>
  <c r="P21" i="92"/>
  <c r="E13" i="107"/>
  <c r="F13" i="107" s="1"/>
  <c r="F31" i="107" s="1"/>
  <c r="AL13" i="107"/>
  <c r="AD13" i="107"/>
  <c r="G13" i="109"/>
  <c r="K19" i="91"/>
  <c r="I17" i="109"/>
  <c r="K7" i="109" l="1"/>
  <c r="P18" i="106"/>
  <c r="H27" i="109"/>
  <c r="N31" i="107"/>
  <c r="I13" i="109" s="1"/>
  <c r="A19" i="105"/>
  <c r="G15" i="109"/>
  <c r="F15" i="109"/>
  <c r="I15" i="109"/>
  <c r="D15" i="109"/>
  <c r="A25" i="107"/>
  <c r="D35" i="109"/>
  <c r="K35" i="109" s="1"/>
  <c r="G21" i="109"/>
  <c r="F21" i="109"/>
  <c r="I21" i="109"/>
  <c r="H21" i="109"/>
  <c r="D21" i="109"/>
  <c r="AE13" i="107"/>
  <c r="K15" i="91"/>
  <c r="H15" i="109"/>
  <c r="N15" i="91"/>
  <c r="F15" i="91"/>
  <c r="M15" i="91"/>
  <c r="M19" i="91"/>
  <c r="G33" i="109"/>
  <c r="D27" i="109"/>
  <c r="K27" i="109" s="1"/>
  <c r="D25" i="109"/>
  <c r="K25" i="109" s="1"/>
  <c r="N19" i="91"/>
  <c r="L19" i="91"/>
  <c r="F19" i="91"/>
  <c r="F11" i="109" l="1"/>
  <c r="A29" i="107"/>
  <c r="A21" i="105"/>
  <c r="A13" i="100"/>
  <c r="D11" i="109"/>
  <c r="H11" i="109"/>
  <c r="G11" i="109"/>
  <c r="K15" i="109"/>
  <c r="P43" i="105"/>
  <c r="P37" i="90"/>
  <c r="K21" i="109"/>
  <c r="P19" i="104"/>
  <c r="I33" i="109"/>
  <c r="D29" i="109"/>
  <c r="K29" i="109" s="1"/>
  <c r="P54" i="82"/>
  <c r="I11" i="109"/>
  <c r="F13" i="109" l="1"/>
  <c r="P53" i="101"/>
  <c r="G19" i="109"/>
  <c r="F19" i="109"/>
  <c r="I19" i="109"/>
  <c r="H19" i="109"/>
  <c r="F33" i="109"/>
  <c r="H33" i="109"/>
  <c r="P89" i="93"/>
  <c r="D31" i="109"/>
  <c r="K31" i="109" s="1"/>
  <c r="H13" i="109"/>
  <c r="H17" i="109"/>
  <c r="K11" i="109"/>
  <c r="F17" i="109" l="1"/>
  <c r="P31" i="107"/>
  <c r="F13" i="91"/>
  <c r="M13" i="91"/>
  <c r="K13" i="91"/>
  <c r="L13" i="91"/>
  <c r="N13" i="91"/>
  <c r="I23" i="109" l="1"/>
  <c r="G23" i="109"/>
  <c r="F23" i="109"/>
  <c r="H23" i="109"/>
  <c r="A13" i="91"/>
  <c r="P23" i="91"/>
  <c r="A21" i="101"/>
  <c r="A23" i="101" s="1"/>
  <c r="A25" i="105"/>
  <c r="A27" i="105" s="1"/>
  <c r="G9" i="109"/>
  <c r="G37" i="109" s="1"/>
  <c r="I9" i="109"/>
  <c r="I37" i="109" s="1"/>
  <c r="H9" i="109"/>
  <c r="F9" i="109"/>
  <c r="F37" i="109" s="1"/>
  <c r="D19" i="109"/>
  <c r="K19" i="109" s="1"/>
  <c r="P33" i="77"/>
  <c r="D13" i="109"/>
  <c r="K13" i="109" s="1"/>
  <c r="D17" i="109"/>
  <c r="H37" i="109" l="1"/>
  <c r="A15" i="91"/>
  <c r="A19" i="91" s="1"/>
  <c r="A21" i="91" s="1"/>
  <c r="D23" i="109"/>
  <c r="K23" i="109" s="1"/>
  <c r="A29" i="105"/>
  <c r="A33" i="105" s="1"/>
  <c r="A35" i="105" s="1"/>
  <c r="A39" i="105" s="1"/>
  <c r="A41" i="105" s="1"/>
  <c r="A25" i="101"/>
  <c r="A27" i="101" s="1"/>
  <c r="A29" i="101" s="1"/>
  <c r="A33" i="101" s="1"/>
  <c r="A35" i="101" s="1"/>
  <c r="A39" i="101" s="1"/>
  <c r="A41" i="101" s="1"/>
  <c r="A43" i="101" s="1"/>
  <c r="A47" i="101" s="1"/>
  <c r="A49" i="101" s="1"/>
  <c r="A51" i="101" s="1"/>
  <c r="D33" i="109"/>
  <c r="K33" i="109" s="1"/>
  <c r="P87" i="78"/>
  <c r="P37" i="100"/>
  <c r="D9" i="109"/>
  <c r="H23" i="97"/>
  <c r="F23" i="97" s="1"/>
  <c r="K17" i="109"/>
  <c r="K9" i="109" l="1"/>
  <c r="D37" i="109"/>
  <c r="K4" i="111"/>
  <c r="L7" i="111" s="1"/>
  <c r="K37" i="109" l="1"/>
  <c r="L23" i="111"/>
  <c r="L11" i="111"/>
  <c r="L13" i="111"/>
  <c r="L9" i="111"/>
  <c r="L25" i="111"/>
  <c r="L21" i="111"/>
  <c r="L19" i="111"/>
  <c r="L17" i="111"/>
  <c r="L15" i="111"/>
  <c r="H29" i="97"/>
  <c r="F29" i="97" s="1"/>
  <c r="H27" i="97"/>
  <c r="F27" i="97" s="1"/>
  <c r="K27" i="111" l="1"/>
  <c r="M5" i="111" s="1"/>
  <c r="A17" i="100"/>
  <c r="C44" i="109"/>
  <c r="A19" i="100" l="1"/>
  <c r="H15" i="97"/>
  <c r="F15" i="97" s="1"/>
  <c r="H25" i="97"/>
  <c r="F25" i="97" s="1"/>
  <c r="A21" i="100" l="1"/>
  <c r="A23" i="100" s="1"/>
  <c r="A25" i="100" s="1"/>
  <c r="A27" i="100" s="1"/>
  <c r="A29" i="100" s="1"/>
  <c r="A33" i="100" s="1"/>
  <c r="A35" i="100" s="1"/>
  <c r="A15" i="97"/>
  <c r="H21" i="97"/>
  <c r="F21" i="97" s="1"/>
  <c r="H33" i="97"/>
  <c r="F33" i="97" s="1"/>
  <c r="H17" i="97"/>
  <c r="F17" i="97" s="1"/>
  <c r="H31" i="97"/>
  <c r="F31" i="97" s="1"/>
  <c r="A17" i="97" l="1"/>
  <c r="A19" i="97" s="1"/>
  <c r="D40" i="109"/>
  <c r="D42" i="109" l="1"/>
  <c r="K2" i="111" s="1"/>
  <c r="A21" i="97"/>
  <c r="A23" i="97" l="1"/>
  <c r="A25" i="97" s="1"/>
  <c r="A27" i="97" s="1"/>
  <c r="A29" i="97" s="1"/>
  <c r="A31" i="97" s="1"/>
  <c r="A33" i="97" l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<sst xmlns="http://schemas.openxmlformats.org/spreadsheetml/2006/main" count="893" uniqueCount="409">
  <si>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</si>
  <si>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</si>
  <si>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</si>
  <si>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</si>
  <si>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</si>
  <si>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</si>
  <si>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</si>
  <si>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</si>
  <si>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</si>
  <si>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</si>
  <si>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</si>
  <si>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</si>
  <si>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</si>
  <si>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m</t>
  </si>
  <si>
    <t>Superstructure</t>
  </si>
  <si>
    <t>Demolition</t>
  </si>
  <si>
    <t>Mechanical</t>
  </si>
  <si>
    <t>Substructure</t>
  </si>
  <si>
    <t>Electrical</t>
  </si>
  <si>
    <t>Kitchen &amp; Bathrooms</t>
  </si>
  <si>
    <t>Joinery</t>
  </si>
  <si>
    <t>Decoration</t>
  </si>
  <si>
    <t>Internal Walls and Partitions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</si>
  <si>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</si>
  <si>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</si>
  <si>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</si>
  <si>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</si>
  <si>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</si>
  <si>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</si>
  <si>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Partitions</t>
  </si>
  <si>
    <t>Floor Finishes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</si>
  <si>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</si>
  <si>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</si>
  <si>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</si>
  <si>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</si>
  <si>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</si>
  <si>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</si>
  <si>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m3</t>
  </si>
  <si>
    <t>Cart away spoil (assume clean and inert)</t>
  </si>
  <si>
    <t>Rubbish removal; skips</t>
  </si>
  <si>
    <t>WASTE SERVICES</t>
  </si>
  <si>
    <t>Item</t>
  </si>
  <si>
    <t>KITCHEN</t>
  </si>
  <si>
    <t>Health &amp; safety</t>
  </si>
  <si>
    <t>Insurance</t>
  </si>
  <si>
    <t>Externals</t>
  </si>
  <si>
    <t>Roof</t>
  </si>
  <si>
    <t>PITCHED ROOF</t>
  </si>
  <si>
    <t>Battens; 25mm x 38mm</t>
  </si>
  <si>
    <t>Ridge</t>
  </si>
  <si>
    <t>Valley</t>
  </si>
  <si>
    <t>Hips</t>
  </si>
  <si>
    <t>Fascia</t>
  </si>
  <si>
    <t>Gutters</t>
  </si>
  <si>
    <t>Downpipes</t>
  </si>
  <si>
    <t>CEILINGS</t>
  </si>
  <si>
    <t>STRUCTURAL STEELWORK</t>
  </si>
  <si>
    <t>Doors</t>
  </si>
  <si>
    <t>Windows</t>
  </si>
  <si>
    <t>Wall Finishes</t>
  </si>
  <si>
    <t>ROOF SUNDRIES</t>
  </si>
  <si>
    <t>SPECIALIST JOINERY</t>
  </si>
  <si>
    <t>No level surveys have been provided so all excavation quantities are provisional</t>
  </si>
  <si>
    <t>SOFFITS AND FASCIAS - UPVC</t>
  </si>
  <si>
    <t>RAINWATER GOODS - UPVC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</si>
  <si>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</si>
  <si>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</si>
  <si>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</si>
  <si>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</si>
  <si>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</si>
  <si>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</si>
  <si>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</si>
  <si>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</si>
  <si>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</si>
  <si>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</si>
  <si>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</si>
  <si>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Width (mm)</t>
  </si>
  <si>
    <t>Height (mm)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</si>
  <si>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</si>
  <si>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</si>
  <si>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</si>
  <si>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</si>
  <si>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</si>
  <si>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</si>
  <si>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</si>
  <si>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</si>
  <si>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</si>
  <si>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</si>
  <si>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</si>
  <si>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</si>
  <si>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</si>
  <si>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</si>
  <si>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</si>
  <si>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</si>
  <si>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</si>
  <si>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</si>
  <si>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Structural Steelwork &amp; Timberwork</t>
  </si>
  <si>
    <t>Sub Total</t>
  </si>
  <si>
    <t>LINTELS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</si>
  <si>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</si>
  <si>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</si>
  <si>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</si>
  <si>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</si>
  <si>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</si>
  <si>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</si>
  <si>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</si>
  <si>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</si>
  <si>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</si>
  <si>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</si>
  <si>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</si>
  <si>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</si>
  <si>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</si>
  <si>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</si>
  <si>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</si>
  <si>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</si>
  <si>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</si>
  <si>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</si>
  <si>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</si>
  <si>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</si>
  <si>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</si>
  <si>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</si>
  <si>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</si>
  <si>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</si>
  <si>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</si>
  <si>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</si>
  <si>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</si>
  <si>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</si>
  <si>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</si>
  <si>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Approx.</t>
  </si>
  <si>
    <t>WINDOW BOARDS</t>
  </si>
  <si>
    <t xml:space="preserve">ARCHITRAVES </t>
  </si>
  <si>
    <t>Calculation</t>
  </si>
  <si>
    <t>Temporary works</t>
  </si>
  <si>
    <t>Skip permits or parking permits</t>
  </si>
  <si>
    <t>The information used in the preparation of this estimate are as listed below: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</si>
  <si>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</si>
  <si>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</si>
  <si>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</si>
  <si>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</si>
  <si>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</si>
  <si>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</si>
  <si>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</si>
  <si>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</si>
  <si>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</si>
  <si>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</si>
  <si>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</si>
  <si>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</si>
  <si>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</si>
  <si>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</si>
  <si>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</si>
  <si>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</si>
  <si>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</si>
  <si>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</si>
  <si>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</si>
  <si>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</si>
  <si>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</si>
  <si>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</si>
  <si>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</si>
  <si>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</si>
  <si>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</si>
  <si>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</si>
  <si>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</si>
  <si>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</si>
  <si>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</si>
  <si>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</si>
  <si>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Kitchens &amp; Bathrooms</t>
  </si>
  <si>
    <t>Structural Steelwork</t>
  </si>
  <si>
    <t>Windows, Doors &amp; Rooflights</t>
  </si>
  <si>
    <t>Document reference:</t>
  </si>
  <si>
    <t>Groundworker</t>
  </si>
  <si>
    <t>UPVC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</si>
  <si>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</si>
  <si>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</si>
  <si>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</si>
  <si>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</si>
  <si>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</si>
  <si>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</si>
  <si>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</si>
  <si>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</si>
  <si>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</si>
  <si>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</si>
  <si>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</si>
  <si>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</si>
  <si>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</si>
  <si>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</si>
  <si>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</si>
  <si>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Fixtures</t>
  </si>
  <si>
    <t>ALLOWANCES</t>
  </si>
  <si>
    <t>MISC</t>
  </si>
  <si>
    <t>Tiles; Slat Roof tiles</t>
  </si>
  <si>
    <t>150mm PIR Inulation</t>
  </si>
  <si>
    <t>Breather membrane (Klober Permo Air 160)</t>
  </si>
  <si>
    <t>Klober Wallint 50 AVCL</t>
  </si>
  <si>
    <t>Exterior Grade Plywood Sheathing</t>
  </si>
  <si>
    <t>Formwork</t>
  </si>
  <si>
    <t>STONE &amp; BRICK WORK</t>
  </si>
  <si>
    <t>FOUNDATION WORK</t>
  </si>
  <si>
    <t>PLANTING &amp; TREES</t>
  </si>
  <si>
    <t xml:space="preserve">Overhaed &amp; Profits </t>
  </si>
  <si>
    <t>PROJECT NAME: SQUAIRRELS LEAP GUILDFORD ROAD, CHERTSEY KT16 9RU</t>
  </si>
  <si>
    <t>SCOPE: GC</t>
  </si>
  <si>
    <t>DATE: 25TH NOVEMBER 2025</t>
  </si>
  <si>
    <t>LOWER FLOOR EXCAVATION</t>
  </si>
  <si>
    <t>Excavate Lower Floor;</t>
  </si>
  <si>
    <t xml:space="preserve">300 mm Thick Concrete Retaining Wall (H = 3.4 M) w/ 
16 mm @ 150 mm c/c vertical, 12 mm @ 200 mm c/c horizontal Bars &amp; 
front face: 10 mm @ 250 mm c/c </t>
  </si>
  <si>
    <t xml:space="preserve">150 mm Thick Rigid Insulation </t>
  </si>
  <si>
    <t xml:space="preserve">150 mm Thick Thick Masonry/Block Wall </t>
  </si>
  <si>
    <t xml:space="preserve">Waterproofing </t>
  </si>
  <si>
    <t>1800X1800X300mm Footing Pad (08 EA)</t>
  </si>
  <si>
    <t>SLABS</t>
  </si>
  <si>
    <t xml:space="preserve">300 mm Thick Concrete Slab on Grade (154 m2) w/
16 mm @ 150 mm c/c (primary direction), 12 mm @ 150–200 mm c/c (secondary direction) &amp; 16 mm @ 150 mm c/c top bars </t>
  </si>
  <si>
    <t>10 MIL Vapor Retarder</t>
  </si>
  <si>
    <t xml:space="preserve">CAVITY WALL </t>
  </si>
  <si>
    <t xml:space="preserve">100 mm Thick Masonry Brick Wall </t>
  </si>
  <si>
    <t xml:space="preserve">100 mm Thick Rigid Insulation </t>
  </si>
  <si>
    <t xml:space="preserve">150 mm Thick Masonry Block Wall </t>
  </si>
  <si>
    <t>300 mm Thick Masonry Block Wall</t>
  </si>
  <si>
    <t>FLOOR CONSTRUCTION</t>
  </si>
  <si>
    <t xml:space="preserve">50 x 170 C24 @ 400 mm C/C </t>
  </si>
  <si>
    <t xml:space="preserve">50 x 200 C24 @ 400 mm C/C </t>
  </si>
  <si>
    <t xml:space="preserve">75 x 200 C24 @ 400 mm C/C </t>
  </si>
  <si>
    <t xml:space="preserve">9 mm Thick OSB3 Roof Sheathing </t>
  </si>
  <si>
    <t>18 mm WBP Plywood</t>
  </si>
  <si>
    <t>200 mm High Soldier Course</t>
  </si>
  <si>
    <t>75 mm High Soldier Course Sill</t>
  </si>
  <si>
    <t>50x100 C24 Engineered Timber Lintels</t>
  </si>
  <si>
    <t>50x300 C24 Engineered Timber Lintels</t>
  </si>
  <si>
    <t>Catanic CG Lintel</t>
  </si>
  <si>
    <t>63 x 200 mm Stringer @ Stairs</t>
  </si>
  <si>
    <t>1000mm Wide Timber Stairs (Risers 16, 293.60mm &amp; Goings, 230mm)</t>
  </si>
  <si>
    <t>900 mm High Wood Railing</t>
  </si>
  <si>
    <t>200x90x30 PFC</t>
  </si>
  <si>
    <t>UC152x152</t>
  </si>
  <si>
    <t>UC152x152 Steel Beam</t>
  </si>
  <si>
    <t>UC203x203</t>
  </si>
  <si>
    <t>UC203x203 Steel Beam</t>
  </si>
  <si>
    <t>UC254x254x132 Steel Beam</t>
  </si>
  <si>
    <t>UC305x305 Steel Beam</t>
  </si>
  <si>
    <t xml:space="preserve">STUD WALL </t>
  </si>
  <si>
    <t>38 x 89 mm Wood Studs</t>
  </si>
  <si>
    <t>38 x 89 mm Top Plates</t>
  </si>
  <si>
    <t>38 x 89 mm Bottom Plates</t>
  </si>
  <si>
    <t>600 mm Soffit</t>
  </si>
  <si>
    <t>RAILINGS</t>
  </si>
  <si>
    <t>600 mm High Glass Railing</t>
  </si>
  <si>
    <t>Fiber Cement Cladding _x000D_
Manufacturer: Hardie Planks</t>
  </si>
  <si>
    <t>EXTERIOR FINISHES</t>
  </si>
  <si>
    <t>WALLS</t>
  </si>
  <si>
    <t>12.5 mm Thick Moisture Resistant Plaster Board Ceiling</t>
  </si>
  <si>
    <t>12.5 mm Thick Plaster Board Ceiling</t>
  </si>
  <si>
    <t xml:space="preserve">12.5 mm Thick Plaster Board </t>
  </si>
  <si>
    <t xml:space="preserve">12.5 mm Thick Moisture Resistant Plaster Board </t>
  </si>
  <si>
    <t>TILES</t>
  </si>
  <si>
    <t>Wall Tiles @ Toilets</t>
  </si>
  <si>
    <t xml:space="preserve">White Wash Paint on Masonry Block Wall </t>
  </si>
  <si>
    <t>White Wash Paint on Masonry Brick Wall</t>
  </si>
  <si>
    <t>White Wash Paint on Plaster Board Wall</t>
  </si>
  <si>
    <t>White Wash on Moisture Resistant Plaster Board Ceiling</t>
  </si>
  <si>
    <t>White Wash on Plaster Board Ceiling</t>
  </si>
  <si>
    <t>FLOORRING</t>
  </si>
  <si>
    <t>Ceramic Floor Tiles</t>
  </si>
  <si>
    <t>Engineered Wood Flooring</t>
  </si>
  <si>
    <t>Wall To Be Removed (3m H)</t>
  </si>
  <si>
    <t>Area For Stair Removal</t>
  </si>
  <si>
    <t>Area For Removal Of (Flooring &amp; Ceiling) And 
All Other Items (Lighting, Mechanical, Plumbing, Opening, Equipment)</t>
  </si>
  <si>
    <t>Roofing To Be Removed</t>
  </si>
  <si>
    <t>DOORS</t>
  </si>
  <si>
    <t>Single Leaf Door w/ Frame</t>
  </si>
  <si>
    <t>1900mm</t>
  </si>
  <si>
    <t>Single Leaf Door W/
 Two Fixed Panels On Both Sides w/ Frame</t>
  </si>
  <si>
    <t>Single Leaf Side Lite Door w/ Frame</t>
  </si>
  <si>
    <t>Double Leaf Side Lite Door w/ Frame</t>
  </si>
  <si>
    <t>Garage Door</t>
  </si>
  <si>
    <t>Double Leaf Door w/ Frame</t>
  </si>
  <si>
    <t>Sliding Door w/ Frame</t>
  </si>
  <si>
    <t xml:space="preserve">WINDOWS </t>
  </si>
  <si>
    <t>Window W/ Frame</t>
  </si>
  <si>
    <t>Four Panel Window w/ Frame</t>
  </si>
  <si>
    <t>Window w/ Frame</t>
  </si>
  <si>
    <t>Window/ W/ Frame</t>
  </si>
  <si>
    <t>Range Cooker (600mm W)</t>
  </si>
  <si>
    <t>Kitchen Extract</t>
  </si>
  <si>
    <t>DW: Dish Washer</t>
  </si>
  <si>
    <t>MW: Micro Wave</t>
  </si>
  <si>
    <t>WM: Washing Machine</t>
  </si>
  <si>
    <t>Fridge</t>
  </si>
  <si>
    <t>Freezer</t>
  </si>
  <si>
    <t>Kitchen Sink</t>
  </si>
  <si>
    <t>BATHROOM</t>
  </si>
  <si>
    <t>Water Closet</t>
  </si>
  <si>
    <t>Lavatory</t>
  </si>
  <si>
    <t>Bath Tub</t>
  </si>
  <si>
    <t>Shower</t>
  </si>
  <si>
    <t>Utility Double Compartment Sink</t>
  </si>
  <si>
    <t>Accessories</t>
  </si>
  <si>
    <t>Soap Dispenser</t>
  </si>
  <si>
    <t>Robe Hook</t>
  </si>
  <si>
    <t>(0.6m W x0.9m H) Wall Mirror</t>
  </si>
  <si>
    <t>Tooth Brush Holder</t>
  </si>
  <si>
    <t>910mm Grab Bar</t>
  </si>
  <si>
    <t>Shower Curtain Rail</t>
  </si>
  <si>
    <t xml:space="preserve">Architraves </t>
  </si>
  <si>
    <t xml:space="preserve">Window boards </t>
  </si>
  <si>
    <t>(120mm H) Splash Back</t>
  </si>
  <si>
    <t>(0.6m W) Utility Countertop</t>
  </si>
  <si>
    <t>(0.6m W) Kitchen Countertop</t>
  </si>
  <si>
    <t>(0.6m W x 2m H) Larder Storage w/ Shelves</t>
  </si>
  <si>
    <t>(0.6m W x 2.6m H) Cupboard W/ Shelves</t>
  </si>
  <si>
    <t>(1m W ) Window Seat</t>
  </si>
  <si>
    <t>LIGHTING</t>
  </si>
  <si>
    <t>A: Suspended IP Rated Fluorescent Luminaire</t>
  </si>
  <si>
    <t>P: Pendant Light</t>
  </si>
  <si>
    <t>Wall Light</t>
  </si>
  <si>
    <t>Linear LED Strip</t>
  </si>
  <si>
    <t>Linear LED</t>
  </si>
  <si>
    <t>POWER</t>
  </si>
  <si>
    <t>Switches</t>
  </si>
  <si>
    <t>Switch</t>
  </si>
  <si>
    <t>2 Gang, 2 Way Switch</t>
  </si>
  <si>
    <t>2 Gang Switch</t>
  </si>
  <si>
    <t>5 Gang, 2 Way Switch</t>
  </si>
  <si>
    <t>4 Gang, 2 Way Switch</t>
  </si>
  <si>
    <t>6 Gang, 2 Way Switch</t>
  </si>
  <si>
    <t>3 Gang, 2 Way Switch</t>
  </si>
  <si>
    <t>3 Gang Switch</t>
  </si>
  <si>
    <t xml:space="preserve"> 2 Way Switch</t>
  </si>
  <si>
    <t>FR: Fire Alarm Reset Switch</t>
  </si>
  <si>
    <t>Outlets</t>
  </si>
  <si>
    <t>Single Data Outlet</t>
  </si>
  <si>
    <t>Twin Switched Socket Outlet</t>
  </si>
  <si>
    <t>TV Quad Outlet</t>
  </si>
  <si>
    <t>Single Socket Outlet</t>
  </si>
  <si>
    <t>TV &amp; Data Outlet</t>
  </si>
  <si>
    <t>Security &amp; Safety / Socket, Panel</t>
  </si>
  <si>
    <t>Mains Heat Alarm</t>
  </si>
  <si>
    <t>Alarm (Type Not Specified)</t>
  </si>
  <si>
    <t>Lighting Control Panel</t>
  </si>
  <si>
    <t>SE: Security Alarm Panel</t>
  </si>
  <si>
    <t>Photovoltaics/Solar Panels (Occupied Area= 35 M2)</t>
  </si>
  <si>
    <t>Switched Fused Connection Unit</t>
  </si>
  <si>
    <t>Dual Voltage Shaver Socket</t>
  </si>
  <si>
    <t>Main BT Incoming Point</t>
  </si>
  <si>
    <t>Consumer Unit</t>
  </si>
  <si>
    <t>TVA: TV Distribution Amplifier</t>
  </si>
  <si>
    <t>DB1; Board_x000D_
Size &amp; Rating: 100A-20 Way SP&amp;N_x000D_
Control: 100A Isolator</t>
  </si>
  <si>
    <t>Allowance</t>
  </si>
  <si>
    <t>Wiring &amp; Conduits</t>
  </si>
  <si>
    <t>Allowance For Wiring &amp; Conduits</t>
  </si>
  <si>
    <t>Allowances For Mechanical Work (500 m2)</t>
  </si>
  <si>
    <t>HEATING SYSTEM</t>
  </si>
  <si>
    <t>Under Floor Heating System</t>
  </si>
  <si>
    <t>PLUMBING</t>
  </si>
  <si>
    <t>32mm Soil Water Pipe</t>
  </si>
  <si>
    <t>40mm Soil Water Pipe</t>
  </si>
  <si>
    <t>50mm Sanitary Pipe</t>
  </si>
  <si>
    <t>110mm Waste Pipe</t>
  </si>
  <si>
    <t>FITTINGS</t>
  </si>
  <si>
    <t>110mm 45 Deg Radius Elbow</t>
  </si>
  <si>
    <t>50mm 45 Deg Radius Elbow</t>
  </si>
  <si>
    <t>40mm 45 Deg Radius Elbow</t>
  </si>
  <si>
    <t>32mm 45 Degree Radius Elbow</t>
  </si>
  <si>
    <t xml:space="preserve">50mm Wye </t>
  </si>
  <si>
    <t>DOMESTIC SERVICES</t>
  </si>
  <si>
    <t>32mm Cold Water Pipe</t>
  </si>
  <si>
    <t>50mm Cold Water Pipe</t>
  </si>
  <si>
    <t>110mm Cold Water Pipe</t>
  </si>
  <si>
    <t>40mm Cold Water Pipe</t>
  </si>
  <si>
    <t>32mm Hot Water Pipe</t>
  </si>
  <si>
    <t>50mm Hot Water Pipe</t>
  </si>
  <si>
    <t>40mm Hot Water Pipe</t>
  </si>
  <si>
    <t>40mm 90 Degree Radius Elbow</t>
  </si>
  <si>
    <t>110mm 90 Degree Radius Elbow</t>
  </si>
  <si>
    <t>50mm 90 Degree Radius Elbow</t>
  </si>
  <si>
    <t>32mm 90 Degree Radius Elbow</t>
  </si>
  <si>
    <t>50mm Tee</t>
  </si>
  <si>
    <t>110mm Tee</t>
  </si>
  <si>
    <t>MISC.</t>
  </si>
  <si>
    <t>Heat Meter</t>
  </si>
  <si>
    <t>Heat Meter Display Unit</t>
  </si>
  <si>
    <t>Grey Water Treatment Tank</t>
  </si>
  <si>
    <t>Sprinkler Valve Set</t>
  </si>
  <si>
    <t>Manhole</t>
  </si>
  <si>
    <t>Flower Bed Re-Planted</t>
  </si>
  <si>
    <t>Grass/Lawn</t>
  </si>
  <si>
    <t>Lower floor slab reinforcement is assumed</t>
  </si>
  <si>
    <t>Lower floor structural floor work is assumed</t>
  </si>
  <si>
    <t>Allowance is considered for mechanical works</t>
  </si>
  <si>
    <t>Supply of windows, doors and roof light</t>
  </si>
  <si>
    <t>All M&amp;E is provisional sum (as no detailed design has been provided) and a detailed design will be required in order to finalize costs</t>
  </si>
  <si>
    <t>The following items are to be organized and paid for by the client and are excluded from the total cost:</t>
  </si>
  <si>
    <t>Bath accessories are assumed</t>
  </si>
  <si>
    <t>BEAMS</t>
  </si>
  <si>
    <t>COLUMNS</t>
  </si>
  <si>
    <t>Labor</t>
  </si>
  <si>
    <t>Remove Septic Tank</t>
  </si>
  <si>
    <t>Roof lights</t>
  </si>
  <si>
    <t>External Windows, Doors and Roof lights</t>
  </si>
  <si>
    <t>(0.6m W x 0.8m H) Utility Cabinet At Base</t>
  </si>
  <si>
    <t>(0.6m W x 0.8m H) Kitchen Cabinet At Base</t>
  </si>
  <si>
    <t>(0.6m W x 0.7m H) Kitchen Cabinet At Above</t>
  </si>
  <si>
    <t>EDD: Energy Display Device</t>
  </si>
  <si>
    <t>Recessed  LED Downlight</t>
  </si>
  <si>
    <t>Heat Interface Unit Programmed</t>
  </si>
  <si>
    <t xml:space="preserve">Mechanical &amp; Plumbing </t>
  </si>
  <si>
    <t>SHS Column 100x5 (08 EA, 6.5 M High)</t>
  </si>
  <si>
    <t>SKIRTING</t>
  </si>
  <si>
    <t>100 mm High Ceramic Tile Skirting</t>
  </si>
  <si>
    <t>100 mm High Wood Skirting</t>
  </si>
  <si>
    <t xml:space="preserve">STAIRCASE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</si>
</sst>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£&quot;#,##0.00_);\(&quot;£&quot;#,##0.00\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6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name val="Arial"/>
      <family val="2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4"/>
      <name val="Arial Bold"/>
    </font>
    <font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indexed="8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2"/>
      <color theme="0" tint="-4.9989318521683403E-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365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166" fontId="13" fillId="0" borderId="5" xfId="0" applyNumberFormat="1" applyFont="1" applyBorder="1" applyAlignment="1">
      <alignment horizontal="center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3" fillId="0" borderId="0" xfId="0" applyNumberFormat="1" applyFont="1"/>
    <xf numFmtId="2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20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25" fillId="0" borderId="8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" fontId="8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0" fillId="0" borderId="0" xfId="0" applyFont="1"/>
    <xf numFmtId="166" fontId="31" fillId="0" borderId="0" xfId="0" applyNumberFormat="1" applyFont="1"/>
    <xf numFmtId="166" fontId="14" fillId="0" borderId="2" xfId="0" applyNumberFormat="1" applyFont="1" applyBorder="1" applyAlignment="1">
      <alignment horizontal="center"/>
    </xf>
    <xf numFmtId="166" fontId="14" fillId="0" borderId="0" xfId="0" applyNumberFormat="1" applyFont="1"/>
    <xf numFmtId="166" fontId="13" fillId="0" borderId="8" xfId="0" applyNumberFormat="1" applyFont="1" applyBorder="1" applyAlignment="1">
      <alignment horizontal="center" wrapText="1"/>
    </xf>
    <xf numFmtId="2" fontId="36" fillId="0" borderId="0" xfId="7" applyNumberFormat="1" applyFont="1" applyAlignment="1">
      <alignment horizontal="center"/>
    </xf>
    <xf numFmtId="166" fontId="36" fillId="0" borderId="7" xfId="7" applyNumberFormat="1" applyFont="1" applyBorder="1" applyAlignment="1">
      <alignment horizontal="center"/>
    </xf>
    <xf numFmtId="166" fontId="36" fillId="0" borderId="6" xfId="7" applyNumberFormat="1" applyFont="1" applyBorder="1" applyAlignment="1">
      <alignment horizontal="center"/>
    </xf>
    <xf numFmtId="166" fontId="36" fillId="0" borderId="0" xfId="7" applyNumberFormat="1" applyFont="1"/>
    <xf numFmtId="0" fontId="36" fillId="0" borderId="0" xfId="7" applyFont="1"/>
    <xf numFmtId="166" fontId="36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166" fontId="13" fillId="0" borderId="0" xfId="0" applyNumberFormat="1" applyFont="1" applyAlignment="1">
      <alignment vertical="center" wrapText="1"/>
    </xf>
    <xf numFmtId="0" fontId="26" fillId="0" borderId="0" xfId="4" applyFont="1"/>
    <xf numFmtId="0" fontId="39" fillId="0" borderId="0" xfId="4" applyFont="1" applyAlignment="1">
      <alignment wrapText="1"/>
    </xf>
    <xf numFmtId="0" fontId="34" fillId="2" borderId="9" xfId="4" applyFont="1" applyFill="1" applyBorder="1" applyAlignment="1">
      <alignment vertical="center" wrapText="1"/>
    </xf>
    <xf numFmtId="0" fontId="34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8" applyFont="1"/>
    <xf numFmtId="0" fontId="40" fillId="0" borderId="0" xfId="7" applyFont="1"/>
    <xf numFmtId="0" fontId="41" fillId="0" borderId="0" xfId="0" applyFont="1"/>
    <xf numFmtId="0" fontId="38" fillId="2" borderId="10" xfId="7" applyFont="1" applyFill="1" applyBorder="1" applyAlignment="1">
      <alignment horizontal="center" vertical="center"/>
    </xf>
    <xf numFmtId="0" fontId="38" fillId="2" borderId="11" xfId="7" applyFont="1" applyFill="1" applyBorder="1" applyAlignment="1">
      <alignment horizontal="center" vertical="center"/>
    </xf>
    <xf numFmtId="0" fontId="42" fillId="0" borderId="8" xfId="0" applyFont="1" applyBorder="1" applyAlignment="1">
      <alignment horizontal="left" indent="2"/>
    </xf>
    <xf numFmtId="0" fontId="42" fillId="0" borderId="8" xfId="0" applyFont="1" applyBorder="1"/>
    <xf numFmtId="0" fontId="38" fillId="2" borderId="9" xfId="7" applyFont="1" applyFill="1" applyBorder="1" applyAlignment="1">
      <alignment vertical="center"/>
    </xf>
    <xf numFmtId="2" fontId="38" fillId="2" borderId="10" xfId="7" applyNumberFormat="1" applyFont="1" applyFill="1" applyBorder="1" applyAlignment="1">
      <alignment horizontal="center" vertical="center"/>
    </xf>
    <xf numFmtId="166" fontId="38" fillId="2" borderId="11" xfId="1" applyNumberFormat="1" applyFont="1" applyFill="1" applyBorder="1" applyAlignment="1">
      <alignment horizontal="center" vertical="center"/>
    </xf>
    <xf numFmtId="166" fontId="36" fillId="0" borderId="0" xfId="7" applyNumberFormat="1" applyFont="1" applyAlignment="1">
      <alignment horizontal="center" vertical="center"/>
    </xf>
    <xf numFmtId="0" fontId="36" fillId="0" borderId="0" xfId="7" applyFont="1" applyAlignment="1">
      <alignment vertical="center"/>
    </xf>
    <xf numFmtId="0" fontId="36" fillId="0" borderId="8" xfId="7" applyFont="1" applyBorder="1"/>
    <xf numFmtId="166" fontId="37" fillId="0" borderId="7" xfId="1" applyNumberFormat="1" applyFont="1" applyBorder="1" applyAlignment="1">
      <alignment horizontal="center"/>
    </xf>
    <xf numFmtId="10" fontId="36" fillId="0" borderId="0" xfId="7" applyNumberFormat="1" applyFont="1" applyAlignment="1">
      <alignment horizontal="center"/>
    </xf>
    <xf numFmtId="0" fontId="38" fillId="2" borderId="9" xfId="7" applyFont="1" applyFill="1" applyBorder="1" applyAlignment="1">
      <alignment vertical="center" wrapText="1"/>
    </xf>
    <xf numFmtId="0" fontId="38" fillId="0" borderId="1" xfId="7" applyFont="1" applyBorder="1" applyAlignment="1">
      <alignment vertical="center" wrapText="1"/>
    </xf>
    <xf numFmtId="2" fontId="38" fillId="0" borderId="2" xfId="7" applyNumberFormat="1" applyFont="1" applyBorder="1" applyAlignment="1">
      <alignment horizontal="center" vertical="center"/>
    </xf>
    <xf numFmtId="166" fontId="38" fillId="0" borderId="3" xfId="1" applyNumberFormat="1" applyFont="1" applyFill="1" applyBorder="1" applyAlignment="1">
      <alignment horizontal="center" vertical="center"/>
    </xf>
    <xf numFmtId="0" fontId="36" fillId="0" borderId="8" xfId="7" applyFont="1" applyBorder="1" applyAlignment="1">
      <alignment horizontal="left" vertical="center" wrapText="1" indent="2"/>
    </xf>
    <xf numFmtId="2" fontId="36" fillId="0" borderId="0" xfId="7" applyNumberFormat="1" applyFont="1" applyAlignment="1">
      <alignment horizontal="center" vertical="center"/>
    </xf>
    <xf numFmtId="166" fontId="36" fillId="0" borderId="7" xfId="1" applyNumberFormat="1" applyFont="1" applyFill="1" applyBorder="1" applyAlignment="1">
      <alignment horizontal="center" vertical="center"/>
    </xf>
    <xf numFmtId="0" fontId="36" fillId="0" borderId="4" xfId="7" applyFont="1" applyBorder="1"/>
    <xf numFmtId="2" fontId="36" fillId="0" borderId="5" xfId="7" applyNumberFormat="1" applyFont="1" applyBorder="1" applyAlignment="1">
      <alignment horizontal="center"/>
    </xf>
    <xf numFmtId="0" fontId="36" fillId="0" borderId="0" xfId="7" applyFont="1" applyAlignment="1">
      <alignment horizontal="left" wrapText="1"/>
    </xf>
    <xf numFmtId="2" fontId="36" fillId="0" borderId="0" xfId="1" applyNumberFormat="1" applyFont="1" applyFill="1" applyBorder="1" applyAlignment="1">
      <alignment horizontal="center"/>
    </xf>
    <xf numFmtId="166" fontId="36" fillId="0" borderId="0" xfId="1" applyNumberFormat="1" applyFont="1" applyFill="1" applyBorder="1" applyAlignment="1">
      <alignment horizontal="center"/>
    </xf>
    <xf numFmtId="0" fontId="36" fillId="0" borderId="0" xfId="7" applyFont="1" applyAlignment="1">
      <alignment wrapText="1"/>
    </xf>
    <xf numFmtId="0" fontId="43" fillId="0" borderId="0" xfId="7" applyFont="1" applyAlignment="1">
      <alignment wrapText="1"/>
    </xf>
    <xf numFmtId="2" fontId="43" fillId="0" borderId="0" xfId="7" applyNumberFormat="1" applyFont="1" applyAlignment="1">
      <alignment horizontal="center" wrapText="1"/>
    </xf>
    <xf numFmtId="166" fontId="43" fillId="0" borderId="0" xfId="1" applyNumberFormat="1" applyFont="1" applyFill="1" applyBorder="1" applyAlignment="1">
      <alignment horizontal="center"/>
    </xf>
    <xf numFmtId="0" fontId="38" fillId="0" borderId="0" xfId="7" applyFont="1" applyAlignment="1">
      <alignment wrapText="1"/>
    </xf>
    <xf numFmtId="2" fontId="43" fillId="0" borderId="0" xfId="7" applyNumberFormat="1" applyFont="1" applyAlignment="1">
      <alignment horizontal="center"/>
    </xf>
    <xf numFmtId="166" fontId="38" fillId="0" borderId="0" xfId="7" applyNumberFormat="1" applyFont="1" applyAlignment="1">
      <alignment horizontal="center"/>
    </xf>
    <xf numFmtId="17" fontId="41" fillId="0" borderId="0" xfId="0" applyNumberFormat="1" applyFont="1"/>
    <xf numFmtId="2" fontId="14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166" fontId="16" fillId="0" borderId="2" xfId="0" applyNumberFormat="1" applyFont="1" applyBorder="1"/>
    <xf numFmtId="0" fontId="16" fillId="0" borderId="2" xfId="0" applyFont="1" applyBorder="1"/>
    <xf numFmtId="2" fontId="17" fillId="0" borderId="0" xfId="0" applyNumberFormat="1" applyFont="1" applyAlignment="1">
      <alignment horizontal="center"/>
    </xf>
    <xf numFmtId="2" fontId="29" fillId="0" borderId="0" xfId="0" applyNumberFormat="1" applyFont="1" applyAlignment="1">
      <alignment horizontal="center"/>
    </xf>
    <xf numFmtId="0" fontId="18" fillId="0" borderId="0" xfId="0" applyFont="1"/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0" fontId="26" fillId="0" borderId="0" xfId="0" applyFont="1" applyAlignment="1">
      <alignment wrapText="1"/>
    </xf>
    <xf numFmtId="167" fontId="27" fillId="0" borderId="0" xfId="0" applyNumberFormat="1" applyFont="1" applyAlignment="1">
      <alignment wrapText="1"/>
    </xf>
    <xf numFmtId="0" fontId="16" fillId="0" borderId="4" xfId="0" applyFont="1" applyBorder="1" applyAlignment="1">
      <alignment horizontal="center"/>
    </xf>
    <xf numFmtId="167" fontId="19" fillId="0" borderId="5" xfId="0" applyNumberFormat="1" applyFont="1" applyBorder="1" applyAlignment="1">
      <alignment wrapText="1"/>
    </xf>
    <xf numFmtId="2" fontId="16" fillId="0" borderId="5" xfId="0" applyNumberFormat="1" applyFont="1" applyBorder="1" applyAlignment="1">
      <alignment horizontal="center"/>
    </xf>
    <xf numFmtId="0" fontId="22" fillId="0" borderId="0" xfId="0" applyFont="1"/>
    <xf numFmtId="0" fontId="21" fillId="0" borderId="0" xfId="0" applyFont="1" applyAlignment="1">
      <alignment horizontal="left" wrapText="1"/>
    </xf>
    <xf numFmtId="167" fontId="26" fillId="0" borderId="0" xfId="0" applyNumberFormat="1" applyFont="1" applyAlignment="1">
      <alignment wrapText="1"/>
    </xf>
    <xf numFmtId="0" fontId="25" fillId="0" borderId="4" xfId="0" applyFont="1" applyBorder="1" applyAlignment="1">
      <alignment horizontal="center"/>
    </xf>
    <xf numFmtId="167" fontId="26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1" fillId="0" borderId="0" xfId="0" applyFont="1" applyAlignment="1">
      <alignment wrapText="1"/>
    </xf>
    <xf numFmtId="166" fontId="13" fillId="0" borderId="0" xfId="0" applyNumberFormat="1" applyFont="1" applyAlignment="1">
      <alignment horizontal="left"/>
    </xf>
    <xf numFmtId="0" fontId="21" fillId="0" borderId="0" xfId="0" applyFont="1"/>
    <xf numFmtId="2" fontId="26" fillId="0" borderId="0" xfId="0" applyNumberFormat="1" applyFont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4" fillId="0" borderId="0" xfId="0" applyFont="1" applyAlignment="1">
      <alignment wrapText="1"/>
    </xf>
    <xf numFmtId="0" fontId="33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166" fontId="28" fillId="0" borderId="0" xfId="0" applyNumberFormat="1" applyFont="1" applyAlignment="1">
      <alignment horizont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left"/>
    </xf>
    <xf numFmtId="0" fontId="16" fillId="0" borderId="0" xfId="0" applyFont="1" applyAlignment="1">
      <alignment horizontal="center" vertical="center" wrapText="1"/>
    </xf>
    <xf numFmtId="167" fontId="26" fillId="0" borderId="0" xfId="0" applyNumberFormat="1" applyFont="1" applyAlignment="1">
      <alignment horizontal="center" vertical="center" wrapText="1"/>
    </xf>
    <xf numFmtId="2" fontId="16" fillId="0" borderId="5" xfId="0" applyNumberFormat="1" applyFont="1" applyBorder="1" applyAlignment="1">
      <alignment horizontal="left"/>
    </xf>
    <xf numFmtId="2" fontId="16" fillId="0" borderId="5" xfId="0" applyNumberFormat="1" applyFont="1" applyBorder="1" applyAlignment="1">
      <alignment horizontal="center" vertical="center"/>
    </xf>
    <xf numFmtId="167" fontId="26" fillId="0" borderId="5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23" fillId="0" borderId="0" xfId="0" applyFont="1"/>
    <xf numFmtId="166" fontId="13" fillId="0" borderId="6" xfId="0" applyNumberFormat="1" applyFont="1" applyBorder="1" applyAlignment="1">
      <alignment horizontal="center"/>
    </xf>
    <xf numFmtId="0" fontId="13" fillId="0" borderId="3" xfId="0" applyFont="1" applyBorder="1"/>
    <xf numFmtId="0" fontId="13" fillId="0" borderId="6" xfId="0" applyFont="1" applyBorder="1"/>
    <xf numFmtId="0" fontId="44" fillId="2" borderId="9" xfId="0" applyFont="1" applyFill="1" applyBorder="1" applyAlignment="1">
      <alignment horizontal="center"/>
    </xf>
    <xf numFmtId="2" fontId="44" fillId="2" borderId="10" xfId="0" applyNumberFormat="1" applyFont="1" applyFill="1" applyBorder="1" applyAlignment="1">
      <alignment horizontal="center"/>
    </xf>
    <xf numFmtId="0" fontId="44" fillId="2" borderId="10" xfId="0" applyFont="1" applyFill="1" applyBorder="1"/>
    <xf numFmtId="166" fontId="14" fillId="2" borderId="10" xfId="0" applyNumberFormat="1" applyFont="1" applyFill="1" applyBorder="1"/>
    <xf numFmtId="0" fontId="45" fillId="2" borderId="10" xfId="0" applyFont="1" applyFill="1" applyBorder="1" applyAlignment="1">
      <alignment horizontal="left" vertical="center"/>
    </xf>
    <xf numFmtId="166" fontId="29" fillId="0" borderId="0" xfId="0" applyNumberFormat="1" applyFont="1" applyAlignment="1">
      <alignment horizontal="center"/>
    </xf>
    <xf numFmtId="166" fontId="36" fillId="0" borderId="8" xfId="7" applyNumberFormat="1" applyFont="1" applyBorder="1" applyAlignment="1">
      <alignment horizontal="center" vertical="center"/>
    </xf>
    <xf numFmtId="166" fontId="36" fillId="0" borderId="7" xfId="7" applyNumberFormat="1" applyFont="1" applyBorder="1" applyAlignment="1">
      <alignment horizontal="center" vertical="center"/>
    </xf>
    <xf numFmtId="166" fontId="14" fillId="2" borderId="11" xfId="0" applyNumberFormat="1" applyFont="1" applyFill="1" applyBorder="1"/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16" fillId="0" borderId="8" xfId="0" applyFont="1" applyBorder="1"/>
    <xf numFmtId="0" fontId="17" fillId="0" borderId="8" xfId="0" applyFont="1" applyBorder="1" applyAlignment="1">
      <alignment horizontal="center"/>
    </xf>
    <xf numFmtId="0" fontId="44" fillId="2" borderId="9" xfId="0" applyFont="1" applyFill="1" applyBorder="1" applyAlignment="1">
      <alignment horizontal="center" vertical="center"/>
    </xf>
    <xf numFmtId="0" fontId="45" fillId="2" borderId="10" xfId="0" applyFont="1" applyFill="1" applyBorder="1" applyAlignment="1">
      <alignment vertical="center"/>
    </xf>
    <xf numFmtId="2" fontId="44" fillId="2" borderId="10" xfId="0" applyNumberFormat="1" applyFont="1" applyFill="1" applyBorder="1" applyAlignment="1">
      <alignment horizontal="center" vertical="center"/>
    </xf>
    <xf numFmtId="0" fontId="44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" fontId="44" fillId="2" borderId="10" xfId="0" applyNumberFormat="1" applyFont="1" applyFill="1" applyBorder="1" applyAlignment="1">
      <alignment horizontal="center" vertical="center"/>
    </xf>
    <xf numFmtId="166" fontId="46" fillId="0" borderId="0" xfId="0" applyNumberFormat="1" applyFont="1" applyAlignment="1">
      <alignment horizontal="center"/>
    </xf>
    <xf numFmtId="166" fontId="38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3" fillId="0" borderId="4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166" fontId="30" fillId="0" borderId="0" xfId="0" applyNumberFormat="1" applyFont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1" fillId="2" borderId="10" xfId="0" applyFont="1" applyFill="1" applyBorder="1" applyAlignment="1">
      <alignment horizontal="center" vertical="center"/>
    </xf>
    <xf numFmtId="2" fontId="10" fillId="2" borderId="10" xfId="0" applyNumberFormat="1" applyFont="1" applyFill="1" applyBorder="1" applyAlignment="1">
      <alignment horizont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166" fontId="28" fillId="0" borderId="7" xfId="0" applyNumberFormat="1" applyFont="1" applyBorder="1" applyAlignment="1">
      <alignment horizontal="center"/>
    </xf>
    <xf numFmtId="0" fontId="13" fillId="0" borderId="5" xfId="0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 applyAlignment="1">
      <alignment horizontal="center"/>
    </xf>
    <xf numFmtId="166" fontId="16" fillId="0" borderId="3" xfId="0" applyNumberFormat="1" applyFont="1" applyBorder="1"/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166" fontId="13" fillId="0" borderId="8" xfId="0" applyNumberFormat="1" applyFont="1" applyBorder="1" applyAlignment="1">
      <alignment horizontal="left"/>
    </xf>
    <xf numFmtId="0" fontId="36" fillId="0" borderId="0" xfId="7" applyFont="1" applyAlignment="1">
      <alignment horizontal="center" vertical="center"/>
    </xf>
    <xf numFmtId="0" fontId="36" fillId="0" borderId="7" xfId="7" applyFont="1" applyBorder="1" applyAlignment="1">
      <alignment horizontal="center" vertical="center"/>
    </xf>
    <xf numFmtId="166" fontId="36" fillId="0" borderId="4" xfId="7" applyNumberFormat="1" applyFont="1" applyBorder="1" applyAlignment="1">
      <alignment horizontal="center" vertical="center"/>
    </xf>
    <xf numFmtId="166" fontId="36" fillId="0" borderId="5" xfId="7" applyNumberFormat="1" applyFont="1" applyBorder="1" applyAlignment="1">
      <alignment horizontal="center" vertical="center"/>
    </xf>
    <xf numFmtId="0" fontId="36" fillId="0" borderId="6" xfId="7" applyFont="1" applyBorder="1" applyAlignment="1">
      <alignment horizontal="center" vertical="center"/>
    </xf>
    <xf numFmtId="166" fontId="38" fillId="0" borderId="7" xfId="7" applyNumberFormat="1" applyFont="1" applyBorder="1" applyAlignment="1">
      <alignment horizontal="center" vertical="center"/>
    </xf>
    <xf numFmtId="166" fontId="36" fillId="3" borderId="8" xfId="7" applyNumberFormat="1" applyFont="1" applyFill="1" applyBorder="1" applyAlignment="1">
      <alignment horizontal="center" vertical="center"/>
    </xf>
    <xf numFmtId="166" fontId="36" fillId="4" borderId="0" xfId="7" applyNumberFormat="1" applyFont="1" applyFill="1" applyAlignment="1">
      <alignment horizontal="center" vertical="center"/>
    </xf>
    <xf numFmtId="166" fontId="38" fillId="4" borderId="0" xfId="7" applyNumberFormat="1" applyFont="1" applyFill="1" applyAlignment="1">
      <alignment horizontal="center" vertical="center"/>
    </xf>
    <xf numFmtId="166" fontId="38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5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0" fontId="13" fillId="0" borderId="16" xfId="0" applyFont="1" applyBorder="1"/>
    <xf numFmtId="166" fontId="16" fillId="0" borderId="8" xfId="0" applyNumberFormat="1" applyFont="1" applyBorder="1"/>
    <xf numFmtId="166" fontId="17" fillId="0" borderId="8" xfId="0" applyNumberFormat="1" applyFont="1" applyBorder="1" applyAlignment="1">
      <alignment horizontal="center"/>
    </xf>
    <xf numFmtId="166" fontId="26" fillId="0" borderId="0" xfId="0" applyNumberFormat="1" applyFont="1"/>
    <xf numFmtId="166" fontId="13" fillId="0" borderId="1" xfId="0" applyNumberFormat="1" applyFont="1" applyBorder="1"/>
    <xf numFmtId="166" fontId="8" fillId="0" borderId="8" xfId="0" applyNumberFormat="1" applyFont="1" applyBorder="1" applyAlignment="1">
      <alignment horizontal="center"/>
    </xf>
    <xf numFmtId="166" fontId="13" fillId="0" borderId="2" xfId="0" applyNumberFormat="1" applyFont="1" applyBorder="1"/>
    <xf numFmtId="166" fontId="16" fillId="0" borderId="8" xfId="0" applyNumberFormat="1" applyFont="1" applyBorder="1" applyAlignment="1">
      <alignment horizontal="left" vertical="top"/>
    </xf>
    <xf numFmtId="0" fontId="48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8" fillId="0" borderId="0" xfId="7" applyNumberFormat="1" applyFont="1" applyAlignment="1">
      <alignment horizontal="center" vertical="center"/>
    </xf>
    <xf numFmtId="0" fontId="38" fillId="0" borderId="7" xfId="7" applyFont="1" applyBorder="1" applyAlignment="1">
      <alignment horizontal="center" vertical="center"/>
    </xf>
    <xf numFmtId="0" fontId="36" fillId="0" borderId="5" xfId="7" applyFont="1" applyBorder="1" applyAlignment="1">
      <alignment horizontal="center" vertical="center"/>
    </xf>
    <xf numFmtId="0" fontId="31" fillId="0" borderId="0" xfId="0" applyFont="1" applyAlignment="1">
      <alignment horizontal="left" vertical="top"/>
    </xf>
    <xf numFmtId="2" fontId="52" fillId="0" borderId="0" xfId="0" applyNumberFormat="1" applyFont="1" applyAlignment="1">
      <alignment horizontal="center" vertical="center"/>
    </xf>
    <xf numFmtId="0" fontId="0" fillId="0" borderId="0" xfId="0" applyProtection="1">
      <protection locked="0"/>
    </xf>
    <xf numFmtId="0" fontId="35" fillId="2" borderId="9" xfId="7" applyFont="1" applyFill="1" applyBorder="1" applyAlignment="1" applyProtection="1">
      <alignment horizontal="center" vertical="center"/>
      <protection locked="0"/>
    </xf>
    <xf numFmtId="0" fontId="35" fillId="2" borderId="10" xfId="7" applyFont="1" applyFill="1" applyBorder="1" applyAlignment="1" applyProtection="1">
      <alignment horizontal="center" vertical="center"/>
      <protection locked="0"/>
    </xf>
    <xf numFmtId="0" fontId="35" fillId="2" borderId="11" xfId="7" applyFont="1" applyFill="1" applyBorder="1" applyAlignment="1" applyProtection="1">
      <alignment horizontal="center" vertical="center"/>
      <protection locked="0"/>
    </xf>
    <xf numFmtId="0" fontId="49" fillId="0" borderId="8" xfId="0" applyFont="1" applyBorder="1" applyProtection="1">
      <protection locked="0"/>
    </xf>
    <xf numFmtId="2" fontId="36" fillId="0" borderId="0" xfId="7" applyNumberFormat="1" applyFont="1" applyAlignment="1" applyProtection="1">
      <alignment horizontal="center"/>
      <protection locked="0"/>
    </xf>
    <xf numFmtId="0" fontId="50" fillId="0" borderId="0" xfId="7" applyFont="1" applyAlignment="1" applyProtection="1">
      <alignment horizontal="center"/>
      <protection locked="0"/>
    </xf>
    <xf numFmtId="2" fontId="36" fillId="0" borderId="0" xfId="1" applyNumberFormat="1" applyFont="1" applyBorder="1" applyAlignment="1" applyProtection="1">
      <alignment horizontal="center"/>
      <protection locked="0"/>
    </xf>
    <xf numFmtId="166" fontId="36" fillId="0" borderId="7" xfId="7" applyNumberFormat="1" applyFont="1" applyBorder="1" applyAlignment="1" applyProtection="1">
      <alignment horizontal="center"/>
      <protection locked="0"/>
    </xf>
    <xf numFmtId="0" fontId="38" fillId="2" borderId="8" xfId="7" applyFont="1" applyFill="1" applyBorder="1" applyAlignment="1" applyProtection="1">
      <alignment vertical="center"/>
      <protection locked="0"/>
    </xf>
    <xf numFmtId="10" fontId="38" fillId="2" borderId="0" xfId="7" applyNumberFormat="1" applyFont="1" applyFill="1" applyAlignment="1" applyProtection="1">
      <alignment horizontal="center"/>
      <protection locked="0"/>
    </xf>
    <xf numFmtId="2" fontId="51" fillId="2" borderId="0" xfId="7" applyNumberFormat="1" applyFont="1" applyFill="1" applyAlignment="1" applyProtection="1">
      <alignment horizontal="center"/>
      <protection locked="0"/>
    </xf>
    <xf numFmtId="2" fontId="36" fillId="2" borderId="0" xfId="1" applyNumberFormat="1" applyFont="1" applyFill="1" applyBorder="1" applyAlignment="1" applyProtection="1">
      <alignment horizontal="center"/>
      <protection locked="0"/>
    </xf>
    <xf numFmtId="166" fontId="36" fillId="2" borderId="7" xfId="7" applyNumberFormat="1" applyFont="1" applyFill="1" applyBorder="1" applyAlignment="1" applyProtection="1">
      <alignment horizontal="center"/>
      <protection locked="0"/>
    </xf>
    <xf numFmtId="0" fontId="38" fillId="0" borderId="8" xfId="7" applyFont="1" applyBorder="1" applyAlignment="1" applyProtection="1">
      <alignment vertical="center"/>
      <protection locked="0"/>
    </xf>
    <xf numFmtId="10" fontId="38" fillId="0" borderId="0" xfId="7" applyNumberFormat="1" applyFont="1" applyAlignment="1" applyProtection="1">
      <alignment horizontal="center"/>
      <protection locked="0"/>
    </xf>
    <xf numFmtId="0" fontId="51" fillId="0" borderId="0" xfId="7" applyFont="1" applyAlignment="1" applyProtection="1">
      <alignment horizontal="center"/>
      <protection locked="0"/>
    </xf>
    <xf numFmtId="2" fontId="38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36" fillId="0" borderId="0" xfId="1" applyNumberFormat="1" applyFont="1" applyFill="1" applyBorder="1" applyAlignment="1" applyProtection="1">
      <alignment horizontal="center"/>
      <protection locked="0"/>
    </xf>
    <xf numFmtId="0" fontId="38" fillId="2" borderId="4" xfId="7" applyFont="1" applyFill="1" applyBorder="1" applyAlignment="1" applyProtection="1">
      <alignment vertical="center"/>
      <protection locked="0"/>
    </xf>
    <xf numFmtId="10" fontId="38" fillId="2" borderId="5" xfId="7" applyNumberFormat="1" applyFont="1" applyFill="1" applyBorder="1" applyAlignment="1" applyProtection="1">
      <alignment horizontal="center"/>
      <protection locked="0"/>
    </xf>
    <xf numFmtId="2" fontId="51" fillId="2" borderId="5" xfId="7" applyNumberFormat="1" applyFont="1" applyFill="1" applyBorder="1" applyAlignment="1" applyProtection="1">
      <alignment horizontal="center"/>
      <protection locked="0"/>
    </xf>
    <xf numFmtId="2" fontId="36" fillId="2" borderId="5" xfId="1" applyNumberFormat="1" applyFont="1" applyFill="1" applyBorder="1" applyAlignment="1" applyProtection="1">
      <alignment horizontal="center"/>
      <protection locked="0"/>
    </xf>
    <xf numFmtId="166" fontId="36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30" fillId="0" borderId="0" xfId="0" applyFont="1" applyAlignment="1" applyProtection="1">
      <alignment wrapText="1"/>
      <protection locked="0"/>
    </xf>
    <xf numFmtId="0" fontId="30" fillId="0" borderId="0" xfId="0" applyFont="1" applyProtection="1">
      <protection locked="0"/>
    </xf>
    <xf numFmtId="0" fontId="53" fillId="0" borderId="0" xfId="0" applyFont="1" applyProtection="1">
      <protection locked="0"/>
    </xf>
    <xf numFmtId="0" fontId="31" fillId="0" borderId="0" xfId="0" applyFont="1" applyAlignment="1" applyProtection="1">
      <alignment horizontal="center"/>
      <protection locked="0"/>
    </xf>
    <xf numFmtId="0" fontId="53" fillId="0" borderId="0" xfId="0" applyFont="1" applyAlignment="1" applyProtection="1">
      <alignment horizontal="center"/>
      <protection locked="0"/>
    </xf>
    <xf numFmtId="1" fontId="30" fillId="0" borderId="0" xfId="0" applyNumberFormat="1" applyFont="1" applyAlignment="1" applyProtection="1">
      <alignment horizontal="center"/>
      <protection locked="0"/>
    </xf>
    <xf numFmtId="166" fontId="30" fillId="0" borderId="0" xfId="0" applyNumberFormat="1" applyFont="1" applyAlignment="1" applyProtection="1">
      <alignment horizontal="center"/>
      <protection locked="0"/>
    </xf>
    <xf numFmtId="0" fontId="30" fillId="0" borderId="0" xfId="0" applyFont="1" applyAlignment="1" applyProtection="1">
      <alignment horizontal="center"/>
      <protection locked="0"/>
    </xf>
    <xf numFmtId="166" fontId="58" fillId="0" borderId="0" xfId="7" applyNumberFormat="1" applyFont="1" applyProtection="1">
      <protection locked="0"/>
    </xf>
    <xf numFmtId="0" fontId="58" fillId="0" borderId="0" xfId="7" applyFont="1" applyProtection="1">
      <protection locked="0"/>
    </xf>
    <xf numFmtId="0" fontId="58" fillId="0" borderId="0" xfId="7" applyFont="1" applyAlignment="1" applyProtection="1">
      <alignment horizontal="center"/>
      <protection locked="0"/>
    </xf>
    <xf numFmtId="0" fontId="59" fillId="0" borderId="0" xfId="0" applyFont="1" applyAlignment="1" applyProtection="1">
      <alignment horizontal="center"/>
      <protection locked="0"/>
    </xf>
    <xf numFmtId="166" fontId="60" fillId="0" borderId="0" xfId="7" applyNumberFormat="1" applyFont="1" applyProtection="1">
      <protection locked="0"/>
    </xf>
    <xf numFmtId="0" fontId="60" fillId="0" borderId="0" xfId="7" applyFont="1" applyProtection="1">
      <protection locked="0"/>
    </xf>
    <xf numFmtId="166" fontId="58" fillId="0" borderId="0" xfId="7" applyNumberFormat="1" applyFont="1" applyAlignment="1" applyProtection="1">
      <alignment horizontal="center"/>
      <protection locked="0"/>
    </xf>
    <xf numFmtId="0" fontId="54" fillId="0" borderId="0" xfId="0" applyFont="1"/>
    <xf numFmtId="166" fontId="55" fillId="0" borderId="0" xfId="7" applyNumberFormat="1" applyFont="1" applyAlignment="1">
      <alignment horizontal="center"/>
    </xf>
    <xf numFmtId="0" fontId="55" fillId="0" borderId="0" xfId="7" applyFont="1"/>
    <xf numFmtId="166" fontId="55" fillId="0" borderId="0" xfId="7" applyNumberFormat="1" applyFont="1"/>
    <xf numFmtId="0" fontId="54" fillId="0" borderId="0" xfId="0" applyFont="1" applyAlignment="1">
      <alignment horizontal="center"/>
    </xf>
    <xf numFmtId="0" fontId="55" fillId="0" borderId="0" xfId="7" applyFont="1" applyAlignment="1">
      <alignment horizontal="center"/>
    </xf>
    <xf numFmtId="166" fontId="56" fillId="0" borderId="0" xfId="0" applyNumberFormat="1" applyFont="1" applyAlignment="1">
      <alignment horizontal="center"/>
    </xf>
    <xf numFmtId="2" fontId="57" fillId="0" borderId="0" xfId="0" applyNumberFormat="1" applyFont="1" applyAlignment="1">
      <alignment horizontal="center"/>
    </xf>
    <xf numFmtId="0" fontId="53" fillId="0" borderId="0" xfId="0" applyFont="1"/>
    <xf numFmtId="164" fontId="13" fillId="0" borderId="0" xfId="0" applyNumberFormat="1" applyFont="1"/>
    <xf numFmtId="0" fontId="25" fillId="0" borderId="8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2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166" fontId="16" fillId="0" borderId="7" xfId="0" applyNumberFormat="1" applyFont="1" applyBorder="1" applyAlignment="1">
      <alignment horizontal="center" vertical="center"/>
    </xf>
    <xf numFmtId="166" fontId="16" fillId="0" borderId="8" xfId="0" applyNumberFormat="1" applyFont="1" applyBorder="1" applyAlignment="1">
      <alignment horizontal="center" vertical="center"/>
    </xf>
    <xf numFmtId="166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21" fillId="0" borderId="0" xfId="0" applyFont="1" applyAlignment="1">
      <alignment vertical="center" wrapText="1"/>
    </xf>
    <xf numFmtId="166" fontId="13" fillId="0" borderId="0" xfId="0" applyNumberFormat="1" applyFont="1" applyAlignment="1">
      <alignment horizontal="center" wrapText="1"/>
    </xf>
    <xf numFmtId="166" fontId="16" fillId="0" borderId="0" xfId="0" applyNumberFormat="1" applyFont="1" applyAlignment="1">
      <alignment horizontal="left" vertical="top"/>
    </xf>
    <xf numFmtId="0" fontId="17" fillId="0" borderId="0" xfId="0" applyFont="1" applyAlignment="1">
      <alignment wrapText="1"/>
    </xf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8" fillId="2" borderId="9" xfId="7" applyFont="1" applyFill="1" applyBorder="1" applyAlignment="1">
      <alignment horizontal="center" vertical="center"/>
    </xf>
    <xf numFmtId="0" fontId="38" fillId="2" borderId="10" xfId="7" applyFont="1" applyFill="1" applyBorder="1" applyAlignment="1">
      <alignment horizontal="center" vertical="center"/>
    </xf>
    <xf numFmtId="0" fontId="38" fillId="2" borderId="11" xfId="7" applyFont="1" applyFill="1" applyBorder="1" applyAlignment="1">
      <alignment horizontal="center" vertical="center"/>
    </xf>
    <xf numFmtId="166" fontId="38" fillId="2" borderId="9" xfId="7" applyNumberFormat="1" applyFont="1" applyFill="1" applyBorder="1" applyAlignment="1">
      <alignment horizontal="center" vertical="center"/>
    </xf>
    <xf numFmtId="166" fontId="38" fillId="2" borderId="10" xfId="7" applyNumberFormat="1" applyFont="1" applyFill="1" applyBorder="1" applyAlignment="1">
      <alignment horizontal="center" vertical="center"/>
    </xf>
    <xf numFmtId="166" fontId="38" fillId="2" borderId="11" xfId="7" applyNumberFormat="1" applyFont="1" applyFill="1" applyBorder="1" applyAlignment="1">
      <alignment horizontal="center" vertical="center"/>
    </xf>
    <xf numFmtId="0" fontId="36" fillId="0" borderId="0" xfId="7" applyFont="1" applyAlignment="1">
      <alignment horizontal="center"/>
    </xf>
    <xf numFmtId="0" fontId="35" fillId="2" borderId="9" xfId="7" applyFont="1" applyFill="1" applyBorder="1" applyAlignment="1">
      <alignment horizontal="center" vertical="center"/>
    </xf>
    <xf numFmtId="0" fontId="35" fillId="2" borderId="10" xfId="7" applyFont="1" applyFill="1" applyBorder="1" applyAlignment="1">
      <alignment horizontal="center" vertical="center"/>
    </xf>
    <xf numFmtId="0" fontId="35" fillId="2" borderId="11" xfId="7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166" fontId="13" fillId="0" borderId="0" xfId="0" applyNumberFormat="1" applyFont="1" applyAlignment="1">
      <alignment horizontal="center" wrapText="1"/>
    </xf>
    <xf numFmtId="2" fontId="8" fillId="0" borderId="8" xfId="0" applyNumberFormat="1" applyFont="1" applyBorder="1" applyAlignment="1">
      <alignment horizontal="center"/>
    </xf>
  </cellXfs>
  <cellStyles count="9">
    <cellStyle name="Comma 2" xfId="1" xr:uid="{00000000-0005-0000-0000-000000000000}"/>
    <cellStyle name="Currency" xfId="2" builtinId="4"/>
    <cellStyle name="Currency 2" xfId="3" xr:uid="{00000000-0005-0000-0000-000002000000}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8" xr:uid="{00000000-0005-0000-0000-000009000000}"/>
  </cellStyles>
  <dxfs count="126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eetMetadata" Target="metadata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561474</xdr:colOff>
      <xdr:row>6</xdr:row>
      <xdr:rowOff>176463</xdr:rowOff>
    </xdr:from>
    <xdr:to>
      <xdr:col>9</xdr:col>
      <xdr:colOff>478396</xdr:colOff>
      <xdr:row>19</xdr:row>
      <xdr:rowOff>176518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187116" y="1331495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336885</xdr:colOff>
      <xdr:row>19</xdr:row>
      <xdr:rowOff>120316</xdr:rowOff>
    </xdr:from>
    <xdr:to>
      <xdr:col>8</xdr:col>
      <xdr:colOff>554445</xdr:colOff>
      <xdr:row>21</xdr:row>
      <xdr:rowOff>134977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588169" y="3777916"/>
          <a:ext cx="4160108" cy="3844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406400</xdr:colOff>
          <xdr:row>1</xdr:row>
          <xdr:rowOff>38100</xdr:rowOff>
        </xdr:from>
        <xdr:to>
          <xdr:col>5</xdr:col>
          <xdr:colOff>952500</xdr:colOff>
          <xdr:row>3</xdr:row>
          <xdr:rowOff>76200</xdr:rowOff>
        </xdr:to>
        <xdr:sp macro="" textlink="">
          <xdr:nvSpPr>
            <xdr:cNvPr id="12289" name="SteelworkToggleButton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7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Remove Steelwork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HK/Desktop/REHMAT%20ALI/NOVEMBER%202025/9.%20SQUAIRRELS%20LEAP%20GUILDFORD%20ROAD,%20CHERTSEY%20KT16%209RU%20(GC%20-%20UK%20BASED)/Salman%20Wor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Qual, Excl &amp; Assum"/>
      <sheetName val="Documents"/>
      <sheetName val="Summary"/>
      <sheetName val="Demolition"/>
      <sheetName val="Windows, Doors &amp; Rooflights"/>
      <sheetName val="Kitchens &amp; Bathrooms"/>
      <sheetName val="Joinery"/>
      <sheetName val="Electrical"/>
      <sheetName val="Mechanical &amp; Plumbing"/>
      <sheetName val="Externals"/>
      <sheetName val="Preliminaries"/>
      <sheetName val="Detai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C4">
            <v>0.1</v>
          </cell>
        </row>
        <row r="6">
          <cell r="C6">
            <v>0.1</v>
          </cell>
        </row>
        <row r="8">
          <cell r="C8">
            <v>0.05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Relationship Id="rId4" Type="http://schemas.openxmlformats.org/officeDocument/2006/relationships/ctrlProp" Target="../ctrlProps/ctrlProp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19" zoomScale="95" zoomScaleNormal="95" workbookViewId="0">
      <selection activeCell="F63" sqref="F63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342" t="s">
        <v>23</v>
      </c>
      <c r="C24" s="343"/>
      <c r="D24" s="343"/>
      <c r="E24" s="343"/>
      <c r="F24" s="343"/>
      <c r="G24" s="343"/>
      <c r="H24" s="343"/>
      <c r="I24" s="343"/>
      <c r="J24" s="343"/>
      <c r="K24" s="344"/>
      <c r="L24" s="10"/>
    </row>
    <row r="25" spans="1:12" ht="15" customHeight="1" thickBot="1" x14ac:dyDescent="0.3">
      <c r="A25" s="8"/>
      <c r="B25" s="345"/>
      <c r="C25" s="346"/>
      <c r="D25" s="346"/>
      <c r="E25" s="346"/>
      <c r="F25" s="346"/>
      <c r="G25" s="346"/>
      <c r="H25" s="346"/>
      <c r="I25" s="346"/>
      <c r="J25" s="346"/>
      <c r="K25" s="347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342" t="s">
        <v>4</v>
      </c>
      <c r="C31" s="343"/>
      <c r="D31" s="343"/>
      <c r="E31" s="343"/>
      <c r="F31" s="343"/>
      <c r="G31" s="343"/>
      <c r="H31" s="343"/>
      <c r="I31" s="343"/>
      <c r="J31" s="343"/>
      <c r="K31" s="344"/>
      <c r="L31" s="10"/>
    </row>
    <row r="32" spans="1:12" ht="15" customHeight="1" thickBot="1" x14ac:dyDescent="0.3">
      <c r="A32" s="8"/>
      <c r="B32" s="345"/>
      <c r="C32" s="346"/>
      <c r="D32" s="346"/>
      <c r="E32" s="346"/>
      <c r="F32" s="346"/>
      <c r="G32" s="346"/>
      <c r="H32" s="346"/>
      <c r="I32" s="346"/>
      <c r="J32" s="346"/>
      <c r="K32" s="347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342" t="s">
        <v>200</v>
      </c>
      <c r="C38" s="343"/>
      <c r="D38" s="343"/>
      <c r="E38" s="343"/>
      <c r="F38" s="343"/>
      <c r="G38" s="343"/>
      <c r="H38" s="343"/>
      <c r="I38" s="343"/>
      <c r="J38" s="343"/>
      <c r="K38" s="344"/>
      <c r="L38" s="10"/>
    </row>
    <row r="39" spans="1:12" ht="15" customHeight="1" x14ac:dyDescent="0.25">
      <c r="A39" s="8"/>
      <c r="B39" s="348"/>
      <c r="C39" s="349"/>
      <c r="D39" s="349"/>
      <c r="E39" s="349"/>
      <c r="F39" s="349"/>
      <c r="G39" s="349"/>
      <c r="H39" s="349"/>
      <c r="I39" s="349"/>
      <c r="J39" s="349"/>
      <c r="K39" s="350"/>
      <c r="L39" s="10"/>
    </row>
    <row r="40" spans="1:12" ht="15" customHeight="1" x14ac:dyDescent="0.25">
      <c r="A40" s="8"/>
      <c r="B40" s="348"/>
      <c r="C40" s="349"/>
      <c r="D40" s="349"/>
      <c r="E40" s="349"/>
      <c r="F40" s="349"/>
      <c r="G40" s="349"/>
      <c r="H40" s="349"/>
      <c r="I40" s="349"/>
      <c r="J40" s="349"/>
      <c r="K40" s="350"/>
      <c r="L40" s="10"/>
    </row>
    <row r="41" spans="1:12" ht="15" customHeight="1" thickBot="1" x14ac:dyDescent="0.3">
      <c r="A41" s="8"/>
      <c r="B41" s="345"/>
      <c r="C41" s="346"/>
      <c r="D41" s="346"/>
      <c r="E41" s="346"/>
      <c r="F41" s="346"/>
      <c r="G41" s="346"/>
      <c r="H41" s="346"/>
      <c r="I41" s="346"/>
      <c r="J41" s="346"/>
      <c r="K41" s="347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342" t="s">
        <v>199</v>
      </c>
      <c r="C47" s="343"/>
      <c r="D47" s="343"/>
      <c r="E47" s="343"/>
      <c r="F47" s="343"/>
      <c r="G47" s="343"/>
      <c r="H47" s="343"/>
      <c r="I47" s="343"/>
      <c r="J47" s="343"/>
      <c r="K47" s="344"/>
      <c r="L47" s="10"/>
    </row>
    <row r="48" spans="1:12" ht="15" customHeight="1" x14ac:dyDescent="0.25">
      <c r="A48" s="8"/>
      <c r="B48" s="348"/>
      <c r="C48" s="349"/>
      <c r="D48" s="349"/>
      <c r="E48" s="349"/>
      <c r="F48" s="349"/>
      <c r="G48" s="349"/>
      <c r="H48" s="349"/>
      <c r="I48" s="349"/>
      <c r="J48" s="349"/>
      <c r="K48" s="350"/>
      <c r="L48" s="10"/>
    </row>
    <row r="49" spans="1:12" ht="15" customHeight="1" x14ac:dyDescent="0.25">
      <c r="A49" s="8"/>
      <c r="B49" s="348"/>
      <c r="C49" s="349"/>
      <c r="D49" s="349"/>
      <c r="E49" s="349"/>
      <c r="F49" s="349"/>
      <c r="G49" s="349"/>
      <c r="H49" s="349"/>
      <c r="I49" s="349"/>
      <c r="J49" s="349"/>
      <c r="K49" s="350"/>
      <c r="L49" s="10"/>
    </row>
    <row r="50" spans="1:12" ht="15" customHeight="1" thickBot="1" x14ac:dyDescent="0.3">
      <c r="A50" s="8"/>
      <c r="B50" s="345"/>
      <c r="C50" s="346"/>
      <c r="D50" s="346"/>
      <c r="E50" s="346"/>
      <c r="F50" s="346"/>
      <c r="G50" s="346"/>
      <c r="H50" s="346"/>
      <c r="I50" s="346"/>
      <c r="J50" s="346"/>
      <c r="K50" s="347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351" t="s">
        <v>201</v>
      </c>
      <c r="C57" s="343"/>
      <c r="D57" s="343"/>
      <c r="E57" s="343"/>
      <c r="F57" s="343"/>
      <c r="G57" s="343"/>
      <c r="H57" s="343"/>
      <c r="I57" s="343"/>
      <c r="J57" s="343"/>
      <c r="K57" s="344"/>
      <c r="L57" s="10"/>
    </row>
    <row r="58" spans="1:12" ht="15" customHeight="1" thickBot="1" x14ac:dyDescent="0.3">
      <c r="A58" s="8"/>
      <c r="B58" s="345"/>
      <c r="C58" s="346"/>
      <c r="D58" s="346"/>
      <c r="E58" s="346"/>
      <c r="F58" s="346"/>
      <c r="G58" s="346"/>
      <c r="H58" s="346"/>
      <c r="I58" s="346"/>
      <c r="J58" s="346"/>
      <c r="K58" s="347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7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4"/>
  <sheetViews>
    <sheetView topLeftCell="A13" zoomScale="95" zoomScaleNormal="95" workbookViewId="0">
      <selection activeCell="B54" sqref="B54"/>
    </sheetView>
  </sheetViews>
  <sheetFormatPr defaultColWidth="9.08984375" defaultRowHeight="15.5" x14ac:dyDescent="0.35"/>
  <cols>
    <col min="1" max="1" width="9.08984375" style="93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>PROJECT NAME: SQUAIRRELS LEAP GUILDFORD ROAD, CHERTSEY KT16 9RU</v>
      </c>
    </row>
    <row r="3" spans="1:2" ht="15" customHeight="1" x14ac:dyDescent="0.35">
      <c r="B3" s="53" t="str">
        <f>Cover!B57</f>
        <v>DATE: 25TH NOVEMBER 2025</v>
      </c>
    </row>
    <row r="4" spans="1:2" ht="15" customHeight="1" x14ac:dyDescent="0.35">
      <c r="B4" s="3"/>
    </row>
    <row r="5" spans="1:2" ht="15" customHeight="1" thickBot="1" x14ac:dyDescent="0.4">
      <c r="B5" s="258"/>
    </row>
    <row r="6" spans="1:2" ht="21.25" customHeight="1" thickBot="1" x14ac:dyDescent="0.3">
      <c r="A6" s="104"/>
      <c r="B6" s="105" t="s">
        <v>5</v>
      </c>
    </row>
    <row r="7" spans="1:2" ht="15" customHeight="1" x14ac:dyDescent="0.35">
      <c r="A7" s="106"/>
      <c r="B7" s="40"/>
    </row>
    <row r="8" spans="1:2" s="42" customFormat="1" ht="15" customHeight="1" x14ac:dyDescent="0.35">
      <c r="A8" s="106">
        <v>1</v>
      </c>
      <c r="B8" s="41" t="s">
        <v>6</v>
      </c>
    </row>
    <row r="9" spans="1:2" s="42" customFormat="1" ht="15" customHeight="1" x14ac:dyDescent="0.35">
      <c r="A9" s="106"/>
      <c r="B9" s="41"/>
    </row>
    <row r="10" spans="1:2" s="42" customFormat="1" ht="15" customHeight="1" x14ac:dyDescent="0.35">
      <c r="A10" s="91">
        <v>1.1000000000000001</v>
      </c>
      <c r="B10" s="21" t="s">
        <v>65</v>
      </c>
    </row>
    <row r="11" spans="1:2" s="42" customFormat="1" ht="15" customHeight="1" x14ac:dyDescent="0.35">
      <c r="A11" s="91">
        <f>+A10+0.1</f>
        <v>1.2000000000000002</v>
      </c>
      <c r="B11" s="21" t="s">
        <v>24</v>
      </c>
    </row>
    <row r="12" spans="1:2" s="42" customFormat="1" ht="15" customHeight="1" x14ac:dyDescent="0.35">
      <c r="A12" s="91">
        <f t="shared" ref="A12:A18" si="0">+A11+0.1</f>
        <v>1.3000000000000003</v>
      </c>
      <c r="B12" s="92" t="s">
        <v>92</v>
      </c>
    </row>
    <row r="13" spans="1:2" s="42" customFormat="1" ht="15" customHeight="1" x14ac:dyDescent="0.35">
      <c r="A13" s="93">
        <f t="shared" si="0"/>
        <v>1.4000000000000004</v>
      </c>
      <c r="B13" s="58" t="s">
        <v>143</v>
      </c>
    </row>
    <row r="14" spans="1:2" s="42" customFormat="1" ht="15" customHeight="1" x14ac:dyDescent="0.35">
      <c r="A14" s="91">
        <f t="shared" si="0"/>
        <v>1.5000000000000004</v>
      </c>
      <c r="B14" s="21" t="s">
        <v>25</v>
      </c>
    </row>
    <row r="15" spans="1:2" s="42" customFormat="1" ht="15" customHeight="1" x14ac:dyDescent="0.35">
      <c r="A15" s="93">
        <f t="shared" si="0"/>
        <v>1.6000000000000005</v>
      </c>
      <c r="B15" s="58" t="s">
        <v>93</v>
      </c>
    </row>
    <row r="16" spans="1:2" s="42" customFormat="1" ht="15" customHeight="1" x14ac:dyDescent="0.35">
      <c r="A16" s="91">
        <f t="shared" si="0"/>
        <v>1.7000000000000006</v>
      </c>
      <c r="B16" s="41" t="s">
        <v>388</v>
      </c>
    </row>
    <row r="17" spans="1:2" s="42" customFormat="1" ht="15" customHeight="1" x14ac:dyDescent="0.35">
      <c r="A17" s="91">
        <f t="shared" si="0"/>
        <v>1.8000000000000007</v>
      </c>
      <c r="B17" s="44" t="s">
        <v>94</v>
      </c>
    </row>
    <row r="18" spans="1:2" s="42" customFormat="1" ht="15" customHeight="1" x14ac:dyDescent="0.35">
      <c r="A18" s="91">
        <f t="shared" si="0"/>
        <v>1.9000000000000008</v>
      </c>
      <c r="B18" s="40" t="s">
        <v>135</v>
      </c>
    </row>
    <row r="19" spans="1:2" s="42" customFormat="1" ht="15" customHeight="1" x14ac:dyDescent="0.35">
      <c r="A19" s="94">
        <v>1.1000000000000001</v>
      </c>
      <c r="B19" s="46" t="s">
        <v>62</v>
      </c>
    </row>
    <row r="20" spans="1:2" s="42" customFormat="1" ht="15" customHeight="1" x14ac:dyDescent="0.35">
      <c r="A20" s="94">
        <v>1.1100000000000001</v>
      </c>
      <c r="B20" s="41" t="s">
        <v>95</v>
      </c>
    </row>
    <row r="21" spans="1:2" s="42" customFormat="1" ht="15" customHeight="1" x14ac:dyDescent="0.35">
      <c r="A21" s="94">
        <v>1.1200000000000001</v>
      </c>
      <c r="B21" s="40" t="s">
        <v>66</v>
      </c>
    </row>
    <row r="22" spans="1:2" s="42" customFormat="1" ht="15" customHeight="1" x14ac:dyDescent="0.35">
      <c r="A22" s="107"/>
      <c r="B22" s="40"/>
    </row>
    <row r="23" spans="1:2" s="42" customFormat="1" ht="15" customHeight="1" x14ac:dyDescent="0.35">
      <c r="A23" s="106">
        <v>2</v>
      </c>
      <c r="B23" s="40" t="s">
        <v>389</v>
      </c>
    </row>
    <row r="24" spans="1:2" s="42" customFormat="1" ht="15" customHeight="1" x14ac:dyDescent="0.35">
      <c r="A24" s="106"/>
      <c r="B24" s="40"/>
    </row>
    <row r="25" spans="1:2" s="42" customFormat="1" ht="15" customHeight="1" x14ac:dyDescent="0.35">
      <c r="A25" s="91">
        <v>2.1</v>
      </c>
      <c r="B25" s="40" t="s">
        <v>100</v>
      </c>
    </row>
    <row r="26" spans="1:2" s="42" customFormat="1" ht="15" customHeight="1" x14ac:dyDescent="0.35">
      <c r="A26" s="106">
        <v>2.2000000000000002</v>
      </c>
      <c r="B26" s="40" t="s">
        <v>101</v>
      </c>
    </row>
    <row r="27" spans="1:2" s="42" customFormat="1" ht="15" customHeight="1" x14ac:dyDescent="0.35">
      <c r="A27" s="106">
        <v>2.2999999999999998</v>
      </c>
      <c r="B27" s="44" t="s">
        <v>102</v>
      </c>
    </row>
    <row r="28" spans="1:2" s="42" customFormat="1" ht="15" customHeight="1" x14ac:dyDescent="0.35">
      <c r="A28" s="106">
        <v>2.4</v>
      </c>
      <c r="B28" s="108" t="s">
        <v>103</v>
      </c>
    </row>
    <row r="29" spans="1:2" s="42" customFormat="1" ht="15" customHeight="1" x14ac:dyDescent="0.35">
      <c r="A29" s="106">
        <v>2.5</v>
      </c>
      <c r="B29" s="45" t="s">
        <v>104</v>
      </c>
    </row>
    <row r="30" spans="1:2" s="42" customFormat="1" ht="15" customHeight="1" x14ac:dyDescent="0.35">
      <c r="A30" s="106">
        <v>2.6</v>
      </c>
      <c r="B30" s="45" t="s">
        <v>139</v>
      </c>
    </row>
    <row r="31" spans="1:2" s="42" customFormat="1" ht="15" customHeight="1" x14ac:dyDescent="0.35">
      <c r="A31" s="106">
        <v>2.7</v>
      </c>
      <c r="B31" s="45" t="s">
        <v>136</v>
      </c>
    </row>
    <row r="32" spans="1:2" s="42" customFormat="1" ht="15" customHeight="1" x14ac:dyDescent="0.35">
      <c r="A32" s="106">
        <v>2.8</v>
      </c>
      <c r="B32" s="45" t="s">
        <v>137</v>
      </c>
    </row>
    <row r="33" spans="1:2" s="42" customFormat="1" ht="15" customHeight="1" x14ac:dyDescent="0.35">
      <c r="A33" s="106">
        <v>2.9</v>
      </c>
      <c r="B33" s="45" t="s">
        <v>138</v>
      </c>
    </row>
    <row r="34" spans="1:2" s="42" customFormat="1" ht="15" customHeight="1" x14ac:dyDescent="0.35">
      <c r="A34" s="107"/>
      <c r="B34" s="41"/>
    </row>
    <row r="35" spans="1:2" s="42" customFormat="1" ht="15" customHeight="1" x14ac:dyDescent="0.35">
      <c r="A35" s="106">
        <v>3</v>
      </c>
      <c r="B35" s="44" t="s">
        <v>7</v>
      </c>
    </row>
    <row r="36" spans="1:2" s="42" customFormat="1" ht="15" customHeight="1" x14ac:dyDescent="0.35">
      <c r="A36" s="106"/>
      <c r="B36" s="41"/>
    </row>
    <row r="37" spans="1:2" s="42" customFormat="1" ht="15" customHeight="1" x14ac:dyDescent="0.35">
      <c r="A37" s="106">
        <v>3.1</v>
      </c>
      <c r="B37" s="41" t="s">
        <v>105</v>
      </c>
    </row>
    <row r="38" spans="1:2" s="42" customFormat="1" ht="15" customHeight="1" x14ac:dyDescent="0.35">
      <c r="A38" s="106">
        <v>3.2</v>
      </c>
      <c r="B38" s="41" t="s">
        <v>106</v>
      </c>
    </row>
    <row r="39" spans="1:2" s="42" customFormat="1" ht="15" customHeight="1" x14ac:dyDescent="0.35">
      <c r="A39" s="106">
        <v>3.3</v>
      </c>
      <c r="B39" s="41" t="s">
        <v>72</v>
      </c>
    </row>
    <row r="40" spans="1:2" s="42" customFormat="1" ht="15" customHeight="1" x14ac:dyDescent="0.35">
      <c r="A40" s="106">
        <v>3.4</v>
      </c>
      <c r="B40" s="41" t="s">
        <v>67</v>
      </c>
    </row>
    <row r="41" spans="1:2" s="42" customFormat="1" ht="15" customHeight="1" x14ac:dyDescent="0.35">
      <c r="A41" s="106">
        <v>3.5</v>
      </c>
      <c r="B41" s="41" t="s">
        <v>68</v>
      </c>
    </row>
    <row r="42" spans="1:2" s="42" customFormat="1" ht="15" customHeight="1" x14ac:dyDescent="0.35">
      <c r="A42" s="106">
        <v>3.6</v>
      </c>
      <c r="B42" s="41" t="s">
        <v>69</v>
      </c>
    </row>
    <row r="43" spans="1:2" s="42" customFormat="1" ht="15" customHeight="1" x14ac:dyDescent="0.35">
      <c r="A43" s="106">
        <v>3.7</v>
      </c>
      <c r="B43" s="41" t="s">
        <v>70</v>
      </c>
    </row>
    <row r="44" spans="1:2" s="42" customFormat="1" ht="15" customHeight="1" x14ac:dyDescent="0.35">
      <c r="A44" s="106">
        <v>3.8</v>
      </c>
      <c r="B44" s="46" t="s">
        <v>71</v>
      </c>
    </row>
    <row r="45" spans="1:2" s="42" customFormat="1" ht="15" customHeight="1" x14ac:dyDescent="0.35">
      <c r="A45" s="106">
        <v>3.9</v>
      </c>
      <c r="B45" s="46" t="s">
        <v>140</v>
      </c>
    </row>
    <row r="46" spans="1:2" s="42" customFormat="1" ht="15" customHeight="1" x14ac:dyDescent="0.35">
      <c r="A46" s="107">
        <v>3.1</v>
      </c>
      <c r="B46" s="46" t="s">
        <v>74</v>
      </c>
    </row>
    <row r="47" spans="1:2" s="42" customFormat="1" ht="15" customHeight="1" x14ac:dyDescent="0.35">
      <c r="A47" s="106">
        <v>3.11</v>
      </c>
      <c r="B47" s="46" t="s">
        <v>75</v>
      </c>
    </row>
    <row r="48" spans="1:2" s="42" customFormat="1" ht="15" customHeight="1" x14ac:dyDescent="0.35">
      <c r="A48" s="106">
        <v>3.12</v>
      </c>
      <c r="B48" s="46" t="s">
        <v>107</v>
      </c>
    </row>
    <row r="49" spans="1:2" s="42" customFormat="1" ht="15" customHeight="1" x14ac:dyDescent="0.35">
      <c r="A49" s="106">
        <v>3.13</v>
      </c>
      <c r="B49" s="46" t="s">
        <v>179</v>
      </c>
    </row>
    <row r="50" spans="1:2" s="42" customFormat="1" ht="15" customHeight="1" x14ac:dyDescent="0.35">
      <c r="A50" s="106">
        <v>3.14</v>
      </c>
      <c r="B50" s="46" t="s">
        <v>182</v>
      </c>
    </row>
    <row r="51" spans="1:2" s="42" customFormat="1" ht="15" customHeight="1" x14ac:dyDescent="0.35">
      <c r="A51" s="106">
        <v>3.15</v>
      </c>
      <c r="B51" s="46" t="s">
        <v>183</v>
      </c>
    </row>
    <row r="52" spans="1:2" s="42" customFormat="1" ht="15" customHeight="1" x14ac:dyDescent="0.35">
      <c r="A52" s="106">
        <v>3.16</v>
      </c>
      <c r="B52" s="46" t="s">
        <v>384</v>
      </c>
    </row>
    <row r="53" spans="1:2" s="42" customFormat="1" ht="15" customHeight="1" x14ac:dyDescent="0.35">
      <c r="A53" s="106">
        <v>3.17</v>
      </c>
      <c r="B53" s="46" t="s">
        <v>385</v>
      </c>
    </row>
    <row r="54" spans="1:2" s="42" customFormat="1" ht="15" customHeight="1" x14ac:dyDescent="0.35">
      <c r="A54" s="106">
        <v>3.18</v>
      </c>
      <c r="B54" s="46" t="s">
        <v>386</v>
      </c>
    </row>
    <row r="55" spans="1:2" s="42" customFormat="1" ht="15" customHeight="1" x14ac:dyDescent="0.35">
      <c r="A55" s="106">
        <v>3.19</v>
      </c>
      <c r="B55" s="46" t="s">
        <v>390</v>
      </c>
    </row>
    <row r="56" spans="1:2" s="42" customFormat="1" ht="15" customHeight="1" x14ac:dyDescent="0.35">
      <c r="A56" s="106"/>
      <c r="B56" s="46"/>
    </row>
    <row r="57" spans="1:2" s="42" customFormat="1" ht="15" customHeight="1" x14ac:dyDescent="0.35">
      <c r="A57" s="106">
        <v>4</v>
      </c>
      <c r="B57" s="44" t="s">
        <v>108</v>
      </c>
    </row>
    <row r="58" spans="1:2" s="42" customFormat="1" ht="15" customHeight="1" x14ac:dyDescent="0.35">
      <c r="A58" s="106"/>
      <c r="B58" s="46"/>
    </row>
    <row r="59" spans="1:2" s="42" customFormat="1" ht="15" customHeight="1" x14ac:dyDescent="0.35">
      <c r="A59" s="106">
        <v>4.0999999999999996</v>
      </c>
      <c r="B59" s="40" t="s">
        <v>109</v>
      </c>
    </row>
    <row r="60" spans="1:2" s="42" customFormat="1" ht="15" customHeight="1" x14ac:dyDescent="0.35">
      <c r="A60" s="106">
        <v>4.2</v>
      </c>
      <c r="B60" s="44" t="s">
        <v>110</v>
      </c>
    </row>
    <row r="61" spans="1:2" s="42" customFormat="1" ht="15" customHeight="1" x14ac:dyDescent="0.35">
      <c r="A61" s="106">
        <v>4.3</v>
      </c>
      <c r="B61" s="44" t="s">
        <v>111</v>
      </c>
    </row>
    <row r="62" spans="1:2" s="42" customFormat="1" ht="15" customHeight="1" x14ac:dyDescent="0.35">
      <c r="A62" s="106">
        <v>4.4000000000000004</v>
      </c>
      <c r="B62" s="44" t="s">
        <v>112</v>
      </c>
    </row>
    <row r="63" spans="1:2" s="42" customFormat="1" ht="15" customHeight="1" x14ac:dyDescent="0.35">
      <c r="A63" s="106">
        <v>4.5</v>
      </c>
      <c r="B63" s="44" t="s">
        <v>142</v>
      </c>
    </row>
    <row r="64" spans="1:2" s="42" customFormat="1" ht="15" customHeight="1" x14ac:dyDescent="0.35">
      <c r="A64" s="106">
        <v>4.5999999999999996</v>
      </c>
      <c r="B64" s="41" t="s">
        <v>113</v>
      </c>
    </row>
    <row r="65" spans="1:2" s="42" customFormat="1" ht="15" customHeight="1" x14ac:dyDescent="0.35">
      <c r="A65" s="106">
        <v>4.7</v>
      </c>
      <c r="B65" s="46" t="s">
        <v>141</v>
      </c>
    </row>
    <row r="66" spans="1:2" s="42" customFormat="1" ht="15" customHeight="1" x14ac:dyDescent="0.35">
      <c r="A66" s="106">
        <v>4.8</v>
      </c>
      <c r="B66" s="46" t="s">
        <v>114</v>
      </c>
    </row>
    <row r="67" spans="1:2" s="42" customFormat="1" ht="15" customHeight="1" x14ac:dyDescent="0.35">
      <c r="A67" s="93">
        <v>4.9000000000000004</v>
      </c>
      <c r="B67" s="46" t="s">
        <v>115</v>
      </c>
    </row>
    <row r="68" spans="1:2" s="42" customFormat="1" ht="15" customHeight="1" x14ac:dyDescent="0.35">
      <c r="A68" s="96">
        <v>4.0999999999999996</v>
      </c>
      <c r="B68" s="46" t="s">
        <v>132</v>
      </c>
    </row>
    <row r="69" spans="1:2" s="42" customFormat="1" ht="15" customHeight="1" x14ac:dyDescent="0.35">
      <c r="A69" s="96">
        <v>4.1100000000000003</v>
      </c>
      <c r="B69" s="41" t="s">
        <v>133</v>
      </c>
    </row>
    <row r="70" spans="1:2" x14ac:dyDescent="0.35">
      <c r="A70" s="93">
        <v>4.12</v>
      </c>
      <c r="B70" s="41" t="s">
        <v>178</v>
      </c>
    </row>
    <row r="71" spans="1:2" x14ac:dyDescent="0.35">
      <c r="A71" s="93">
        <v>4.13</v>
      </c>
      <c r="B71" s="41" t="s">
        <v>387</v>
      </c>
    </row>
    <row r="72" spans="1:2" x14ac:dyDescent="0.35">
      <c r="A72" s="93">
        <v>4.1399999999999997</v>
      </c>
      <c r="B72" s="41" t="s">
        <v>180</v>
      </c>
    </row>
    <row r="73" spans="1:2" x14ac:dyDescent="0.35">
      <c r="A73" s="93">
        <v>4.1500000000000004</v>
      </c>
      <c r="B73" s="41" t="s">
        <v>181</v>
      </c>
    </row>
    <row r="74" spans="1:2" x14ac:dyDescent="0.35">
      <c r="A74" s="93">
        <v>4.16</v>
      </c>
      <c r="B74" s="41" t="s">
        <v>184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95" zoomScaleNormal="95" workbookViewId="0">
      <selection activeCell="B29" sqref="B29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98"/>
      <c r="B2" s="39" t="str">
        <f>+Cover!B47</f>
        <v>PROJECT NAME: SQUAIRRELS LEAP GUILDFORD ROAD, CHERTSEY KT16 9RU</v>
      </c>
    </row>
    <row r="3" spans="1:2" ht="18.5" x14ac:dyDescent="0.45">
      <c r="A3" s="98"/>
      <c r="B3" s="103" t="str">
        <f>+Cover!B57</f>
        <v>DATE: 25TH NOVEMBER 2025</v>
      </c>
    </row>
    <row r="4" spans="1:2" ht="19" thickBot="1" x14ac:dyDescent="0.5">
      <c r="A4" s="98"/>
      <c r="B4" s="99"/>
    </row>
    <row r="5" spans="1:2" s="95" customFormat="1" ht="20" customHeight="1" thickBot="1" x14ac:dyDescent="0.4">
      <c r="A5" s="100"/>
      <c r="B5" s="101" t="s">
        <v>99</v>
      </c>
    </row>
    <row r="6" spans="1:2" ht="15.5" x14ac:dyDescent="0.35">
      <c r="A6" s="40"/>
      <c r="B6" s="40"/>
    </row>
    <row r="7" spans="1:2" ht="15.5" x14ac:dyDescent="0.35">
      <c r="A7" s="43"/>
      <c r="B7" s="47" t="s">
        <v>134</v>
      </c>
    </row>
    <row r="8" spans="1:2" ht="15.5" x14ac:dyDescent="0.35">
      <c r="A8" s="43"/>
      <c r="B8" s="47"/>
    </row>
    <row r="9" spans="1:2" ht="15.5" x14ac:dyDescent="0.35">
      <c r="A9" s="43"/>
      <c r="B9" s="41" t="s">
        <v>168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172</v>
      </c>
    </row>
    <row r="12" spans="1:2" ht="15.5" x14ac:dyDescent="0.35">
      <c r="A12" s="43"/>
      <c r="B12" s="102" t="s">
        <v>173</v>
      </c>
    </row>
    <row r="13" spans="1:2" ht="15.5" x14ac:dyDescent="0.35">
      <c r="A13" s="43"/>
      <c r="B13" s="102" t="s">
        <v>174</v>
      </c>
    </row>
    <row r="14" spans="1:2" ht="15.5" x14ac:dyDescent="0.35">
      <c r="A14" s="43"/>
      <c r="B14" s="102" t="s">
        <v>175</v>
      </c>
    </row>
    <row r="15" spans="1:2" ht="15.5" x14ac:dyDescent="0.35">
      <c r="A15" s="43"/>
      <c r="B15" s="102" t="s">
        <v>176</v>
      </c>
    </row>
    <row r="16" spans="1:2" ht="15.5" x14ac:dyDescent="0.35">
      <c r="A16" s="43"/>
      <c r="B16" s="102" t="s">
        <v>177</v>
      </c>
    </row>
    <row r="17" spans="1:2" ht="15.5" x14ac:dyDescent="0.35">
      <c r="A17" s="43"/>
      <c r="B17" s="102"/>
    </row>
    <row r="18" spans="1:2" ht="15.5" x14ac:dyDescent="0.35">
      <c r="A18" s="43"/>
      <c r="B18" s="102"/>
    </row>
    <row r="19" spans="1:2" ht="15.5" x14ac:dyDescent="0.35">
      <c r="A19" s="43"/>
      <c r="B19" s="102"/>
    </row>
    <row r="20" spans="1:2" ht="15.5" x14ac:dyDescent="0.35">
      <c r="A20" s="43"/>
      <c r="B20" s="102"/>
    </row>
    <row r="21" spans="1:2" ht="15.5" x14ac:dyDescent="0.35">
      <c r="A21" s="43"/>
      <c r="B21" s="102"/>
    </row>
    <row r="22" spans="1:2" ht="15.5" x14ac:dyDescent="0.35">
      <c r="A22" s="43"/>
      <c r="B22" s="102"/>
    </row>
    <row r="23" spans="1:2" ht="15.5" x14ac:dyDescent="0.35">
      <c r="A23" s="43"/>
      <c r="B23" s="102"/>
    </row>
    <row r="24" spans="1:2" ht="15.5" x14ac:dyDescent="0.35">
      <c r="A24" s="43"/>
      <c r="B24" s="102"/>
    </row>
    <row r="25" spans="1:2" ht="15.5" x14ac:dyDescent="0.35">
      <c r="A25" s="43"/>
      <c r="B25" s="102"/>
    </row>
    <row r="26" spans="1:2" ht="15.5" x14ac:dyDescent="0.35">
      <c r="A26" s="43"/>
      <c r="B26" s="102"/>
    </row>
    <row r="27" spans="1:2" ht="15.5" x14ac:dyDescent="0.35">
      <c r="A27" s="43"/>
      <c r="B27" s="102"/>
    </row>
    <row r="28" spans="1:2" ht="15.5" x14ac:dyDescent="0.35">
      <c r="A28" s="43"/>
      <c r="B28" s="102"/>
    </row>
    <row r="29" spans="1:2" ht="15.5" x14ac:dyDescent="0.35">
      <c r="A29" s="43"/>
      <c r="B29" s="102"/>
    </row>
    <row r="30" spans="1:2" ht="15.5" x14ac:dyDescent="0.35">
      <c r="A30" s="43"/>
      <c r="B30" s="102"/>
    </row>
    <row r="31" spans="1:2" ht="15.5" x14ac:dyDescent="0.35">
      <c r="A31" s="43"/>
      <c r="B31" s="102"/>
    </row>
    <row r="32" spans="1:2" ht="15.5" x14ac:dyDescent="0.35">
      <c r="A32" s="43"/>
      <c r="B32" s="102"/>
    </row>
    <row r="33" spans="1:2" ht="15.5" x14ac:dyDescent="0.35">
      <c r="A33" s="43"/>
      <c r="B33" s="102"/>
    </row>
    <row r="34" spans="1:2" ht="15.5" x14ac:dyDescent="0.35">
      <c r="A34" s="43"/>
      <c r="B34" s="102"/>
    </row>
    <row r="35" spans="1:2" ht="15.5" x14ac:dyDescent="0.35">
      <c r="A35" s="43"/>
      <c r="B35" s="102"/>
    </row>
    <row r="36" spans="1:2" ht="15.5" x14ac:dyDescent="0.35">
      <c r="A36" s="43"/>
      <c r="B36" s="102"/>
    </row>
    <row r="37" spans="1:2" ht="15.5" x14ac:dyDescent="0.35">
      <c r="A37" s="43"/>
      <c r="B37" s="102"/>
    </row>
    <row r="38" spans="1:2" ht="15.5" x14ac:dyDescent="0.35">
      <c r="A38" s="43"/>
      <c r="B38" s="102"/>
    </row>
    <row r="39" spans="1:2" ht="15.5" x14ac:dyDescent="0.35">
      <c r="A39" s="43"/>
      <c r="B39" s="102"/>
    </row>
    <row r="40" spans="1:2" ht="15.5" x14ac:dyDescent="0.35">
      <c r="A40" s="43"/>
      <c r="B40" s="102"/>
    </row>
    <row r="41" spans="1:2" ht="15.5" x14ac:dyDescent="0.35">
      <c r="A41" s="43"/>
      <c r="B41" s="102"/>
    </row>
    <row r="42" spans="1:2" ht="15.5" x14ac:dyDescent="0.35">
      <c r="A42" s="43"/>
      <c r="B42" s="102"/>
    </row>
    <row r="43" spans="1:2" ht="15.5" x14ac:dyDescent="0.35">
      <c r="A43" s="43"/>
      <c r="B43" s="102"/>
    </row>
    <row r="44" spans="1:2" ht="15.5" x14ac:dyDescent="0.35">
      <c r="A44" s="43"/>
      <c r="B44" s="102"/>
    </row>
    <row r="45" spans="1:2" ht="15.5" x14ac:dyDescent="0.35">
      <c r="A45" s="43"/>
      <c r="B45" s="102"/>
    </row>
    <row r="46" spans="1:2" ht="15.5" x14ac:dyDescent="0.35">
      <c r="A46" s="43"/>
      <c r="B46" s="102"/>
    </row>
    <row r="47" spans="1:2" ht="15.5" x14ac:dyDescent="0.35">
      <c r="A47" s="43"/>
      <c r="B47" s="102"/>
    </row>
    <row r="48" spans="1:2" ht="15.5" x14ac:dyDescent="0.35">
      <c r="A48" s="43"/>
      <c r="B48" s="102"/>
    </row>
    <row r="49" spans="1:2" ht="15.5" x14ac:dyDescent="0.35">
      <c r="A49" s="43"/>
      <c r="B49" s="102"/>
    </row>
    <row r="50" spans="1:2" ht="15.5" x14ac:dyDescent="0.35">
      <c r="A50" s="43"/>
      <c r="B50" s="102"/>
    </row>
    <row r="51" spans="1:2" ht="15.5" x14ac:dyDescent="0.35">
      <c r="A51" s="43"/>
      <c r="B51" s="102"/>
    </row>
    <row r="52" spans="1:2" ht="15.5" x14ac:dyDescent="0.35">
      <c r="A52" s="43"/>
      <c r="B52" s="102"/>
    </row>
    <row r="53" spans="1:2" ht="15.5" x14ac:dyDescent="0.35">
      <c r="A53" s="43"/>
      <c r="B53" s="102"/>
    </row>
    <row r="54" spans="1:2" ht="15.5" x14ac:dyDescent="0.35">
      <c r="A54" s="43"/>
      <c r="B54" s="102"/>
    </row>
    <row r="55" spans="1:2" ht="15.5" x14ac:dyDescent="0.35">
      <c r="A55" s="43"/>
      <c r="B55" s="102"/>
    </row>
    <row r="56" spans="1:2" ht="15.5" x14ac:dyDescent="0.35">
      <c r="A56" s="43"/>
      <c r="B56" s="102"/>
    </row>
    <row r="57" spans="1:2" ht="15.5" x14ac:dyDescent="0.35">
      <c r="A57" s="43"/>
      <c r="B57" s="102"/>
    </row>
    <row r="58" spans="1:2" ht="15.5" x14ac:dyDescent="0.35">
      <c r="A58" s="43"/>
      <c r="B58" s="102"/>
    </row>
    <row r="59" spans="1:2" ht="15.5" x14ac:dyDescent="0.35">
      <c r="A59" s="43"/>
      <c r="B59" s="102"/>
    </row>
    <row r="60" spans="1:2" ht="15.5" x14ac:dyDescent="0.35">
      <c r="A60" s="43"/>
      <c r="B60" s="102"/>
    </row>
    <row r="61" spans="1:2" ht="15.5" x14ac:dyDescent="0.35">
      <c r="A61" s="43"/>
      <c r="B61" s="102"/>
    </row>
    <row r="62" spans="1:2" ht="15.5" x14ac:dyDescent="0.35">
      <c r="A62" s="43"/>
      <c r="B62" s="102"/>
    </row>
    <row r="63" spans="1:2" ht="15.5" x14ac:dyDescent="0.35">
      <c r="A63" s="43"/>
      <c r="B63" s="102"/>
    </row>
    <row r="64" spans="1:2" ht="15.5" x14ac:dyDescent="0.35">
      <c r="A64" s="43"/>
      <c r="B64" s="102"/>
    </row>
    <row r="65" spans="1:2" ht="15.5" x14ac:dyDescent="0.35">
      <c r="A65" s="43"/>
      <c r="B65" s="102"/>
    </row>
    <row r="66" spans="1:2" ht="15.5" x14ac:dyDescent="0.35">
      <c r="A66" s="43"/>
      <c r="B66" s="102"/>
    </row>
    <row r="67" spans="1:2" ht="15.5" x14ac:dyDescent="0.35">
      <c r="A67" s="43"/>
      <c r="B67" s="102"/>
    </row>
    <row r="68" spans="1:2" ht="15.5" x14ac:dyDescent="0.35">
      <c r="A68" s="43"/>
      <c r="B68" s="102"/>
    </row>
    <row r="69" spans="1:2" ht="15.5" x14ac:dyDescent="0.35">
      <c r="A69" s="43"/>
      <c r="B69" s="102"/>
    </row>
    <row r="70" spans="1:2" ht="15.5" x14ac:dyDescent="0.35">
      <c r="A70" s="43"/>
      <c r="B70" s="102"/>
    </row>
    <row r="71" spans="1:2" ht="15.5" x14ac:dyDescent="0.35">
      <c r="A71" s="43"/>
      <c r="B71" s="102"/>
    </row>
    <row r="72" spans="1:2" ht="15.5" x14ac:dyDescent="0.35">
      <c r="A72" s="43"/>
      <c r="B72" s="102"/>
    </row>
    <row r="73" spans="1:2" ht="15.5" x14ac:dyDescent="0.35">
      <c r="A73" s="43"/>
      <c r="B73" s="102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6"/>
  <sheetViews>
    <sheetView zoomScale="70" zoomScaleNormal="70" workbookViewId="0">
      <selection activeCell="I38" sqref="I38"/>
    </sheetView>
  </sheetViews>
  <sheetFormatPr defaultColWidth="9.08984375" defaultRowHeight="15.5" x14ac:dyDescent="0.35"/>
  <cols>
    <col min="1" max="1" width="2.36328125" style="89" customWidth="1"/>
    <col min="2" max="2" width="70.453125" style="89" customWidth="1"/>
    <col min="3" max="3" width="16.453125" style="85" customWidth="1"/>
    <col min="4" max="4" width="20.6328125" style="90" customWidth="1"/>
    <col min="5" max="5" width="12.453125" style="88" bestFit="1" customWidth="1"/>
    <col min="6" max="7" width="20.6328125" style="118" customWidth="1"/>
    <col min="8" max="9" width="20.6328125" style="234" customWidth="1"/>
    <col min="10" max="10" width="10.08984375" style="89" bestFit="1" customWidth="1"/>
    <col min="11" max="11" width="13.36328125" style="89" bestFit="1" customWidth="1"/>
    <col min="12" max="16384" width="9.08984375" style="89"/>
  </cols>
  <sheetData>
    <row r="1" spans="2:13" x14ac:dyDescent="0.35">
      <c r="B1" s="109"/>
    </row>
    <row r="2" spans="2:13" s="88" customFormat="1" x14ac:dyDescent="0.35">
      <c r="B2" s="110" t="str">
        <f>+Documents!B2</f>
        <v>PROJECT NAME: SQUAIRRELS LEAP GUILDFORD ROAD, CHERTSEY KT16 9RU</v>
      </c>
      <c r="C2" s="85"/>
      <c r="D2" s="90"/>
      <c r="F2" s="118"/>
      <c r="G2" s="118"/>
      <c r="H2" s="234"/>
      <c r="I2" s="234"/>
    </row>
    <row r="3" spans="2:13" s="88" customFormat="1" ht="16" thickBot="1" x14ac:dyDescent="0.4">
      <c r="B3" s="142" t="str">
        <f>+Documents!B3</f>
        <v>DATE: 25TH NOVEMBER 2025</v>
      </c>
      <c r="C3" s="85"/>
      <c r="D3" s="90"/>
      <c r="F3" s="118"/>
      <c r="G3" s="118"/>
      <c r="H3" s="234"/>
      <c r="I3" s="234"/>
    </row>
    <row r="4" spans="2:13" s="88" customFormat="1" ht="16" thickBot="1" x14ac:dyDescent="0.4">
      <c r="B4" s="89"/>
      <c r="C4" s="85"/>
      <c r="D4" s="90"/>
      <c r="F4" s="355" t="s">
        <v>122</v>
      </c>
      <c r="G4" s="356"/>
      <c r="H4" s="356"/>
      <c r="I4" s="357"/>
    </row>
    <row r="5" spans="2:13" s="88" customFormat="1" ht="31.75" customHeight="1" thickBot="1" x14ac:dyDescent="0.4">
      <c r="B5" s="352" t="s">
        <v>116</v>
      </c>
      <c r="C5" s="353"/>
      <c r="D5" s="354"/>
      <c r="F5" s="213" t="s">
        <v>123</v>
      </c>
      <c r="G5" s="111" t="s">
        <v>124</v>
      </c>
      <c r="H5" s="111" t="s">
        <v>158</v>
      </c>
      <c r="I5" s="112" t="s">
        <v>159</v>
      </c>
      <c r="K5" s="234" t="s">
        <v>125</v>
      </c>
      <c r="L5" s="358" t="e" cm="1">
        <f t="array" aca="1" ref="L5" ca="1">CheckMissingTabs(B7:B35)</f>
        <v>#NAME?</v>
      </c>
      <c r="M5" s="358"/>
    </row>
    <row r="6" spans="2:13" x14ac:dyDescent="0.35">
      <c r="B6" s="113"/>
      <c r="D6" s="86"/>
      <c r="F6" s="194"/>
      <c r="H6" s="118"/>
      <c r="I6" s="195"/>
    </row>
    <row r="7" spans="2:13" x14ac:dyDescent="0.35">
      <c r="B7" s="113" t="s">
        <v>15</v>
      </c>
      <c r="D7" s="86">
        <f>+Demolition!F19</f>
        <v>6743.2320000000009</v>
      </c>
      <c r="F7" s="240">
        <f>+Demolition!K19</f>
        <v>5863.6799999999994</v>
      </c>
      <c r="G7" s="241">
        <f>+Demolition!L19</f>
        <v>0</v>
      </c>
      <c r="H7" s="118">
        <f>+Demolition!M19</f>
        <v>879.55200000000013</v>
      </c>
      <c r="I7" s="195">
        <f>+Demolition!N19</f>
        <v>0</v>
      </c>
      <c r="K7" s="118">
        <f>+F7+G7+I7+H7-D7</f>
        <v>0</v>
      </c>
    </row>
    <row r="8" spans="2:13" x14ac:dyDescent="0.35">
      <c r="B8" s="113"/>
      <c r="D8" s="86"/>
      <c r="F8" s="194"/>
      <c r="H8" s="118"/>
      <c r="I8" s="195"/>
      <c r="K8" s="234"/>
    </row>
    <row r="9" spans="2:13" x14ac:dyDescent="0.35">
      <c r="B9" s="113" t="s">
        <v>17</v>
      </c>
      <c r="D9" s="86">
        <f>+Substructure!F37</f>
        <v>196289.5500513</v>
      </c>
      <c r="F9" s="240">
        <f>+Substructure!K37</f>
        <v>75449.538461999997</v>
      </c>
      <c r="G9" s="241">
        <f>+Substructure!L37</f>
        <v>95237.026800000007</v>
      </c>
      <c r="H9" s="118">
        <f>+Substructure!M37</f>
        <v>11317.430769300001</v>
      </c>
      <c r="I9" s="195">
        <f>+Substructure!N37</f>
        <v>14285.554020000003</v>
      </c>
      <c r="K9" s="118">
        <f t="shared" ref="K9" si="0">+F9+G9+I9+H9-D9</f>
        <v>0</v>
      </c>
    </row>
    <row r="10" spans="2:13" x14ac:dyDescent="0.35">
      <c r="B10" s="113"/>
      <c r="D10" s="86"/>
      <c r="F10" s="194"/>
      <c r="H10" s="118"/>
      <c r="I10" s="195"/>
      <c r="K10" s="234"/>
    </row>
    <row r="11" spans="2:13" x14ac:dyDescent="0.35">
      <c r="B11" s="113" t="s">
        <v>14</v>
      </c>
      <c r="D11" s="86">
        <f>+Superstructure!F53</f>
        <v>126000.76689414703</v>
      </c>
      <c r="F11" s="240">
        <f>+Superstructure!K53</f>
        <v>34776.884763780006</v>
      </c>
      <c r="G11" s="241">
        <f>+Superstructure!L53</f>
        <v>74788.999492000003</v>
      </c>
      <c r="H11" s="118">
        <f>+Superstructure!M53</f>
        <v>5216.5327145670008</v>
      </c>
      <c r="I11" s="195">
        <f>+Superstructure!N53</f>
        <v>11218.349923800004</v>
      </c>
      <c r="K11" s="118">
        <f t="shared" ref="K11" si="1">+F11+G11+I11+H11-D11</f>
        <v>0</v>
      </c>
    </row>
    <row r="12" spans="2:13" x14ac:dyDescent="0.35">
      <c r="B12" s="113"/>
      <c r="D12" s="86"/>
      <c r="F12" s="194"/>
      <c r="H12" s="118"/>
      <c r="I12" s="195"/>
      <c r="K12" s="234"/>
    </row>
    <row r="13" spans="2:13" x14ac:dyDescent="0.35">
      <c r="B13" s="113" t="s">
        <v>166</v>
      </c>
      <c r="D13" s="86">
        <f>+'Structural Steelwork'!F31</f>
        <v>30426.643545062507</v>
      </c>
      <c r="F13" s="240">
        <f>+'Structural Steelwork'!K31</f>
        <v>8397.9161587500002</v>
      </c>
      <c r="G13" s="241">
        <f>+'Structural Steelwork'!L31</f>
        <v>18060.034750000003</v>
      </c>
      <c r="H13" s="118">
        <f>+'Structural Steelwork'!M31</f>
        <v>1259.6874238125001</v>
      </c>
      <c r="I13" s="195">
        <f>+'Structural Steelwork'!N31</f>
        <v>2709.0052125000002</v>
      </c>
      <c r="K13" s="118">
        <f t="shared" ref="K13" si="2">+F13+G13+I13+H13-D13</f>
        <v>0</v>
      </c>
    </row>
    <row r="14" spans="2:13" x14ac:dyDescent="0.35">
      <c r="B14" s="113"/>
      <c r="D14" s="86"/>
      <c r="F14" s="194"/>
      <c r="H14" s="118"/>
      <c r="I14" s="195"/>
      <c r="K14" s="234"/>
    </row>
    <row r="15" spans="2:13" x14ac:dyDescent="0.35">
      <c r="B15" s="113" t="s">
        <v>46</v>
      </c>
      <c r="D15" s="86">
        <f>+Roof!F43</f>
        <v>71570.615306125008</v>
      </c>
      <c r="F15" s="240">
        <f>+Roof!K43</f>
        <v>19753.872157499998</v>
      </c>
      <c r="G15" s="241">
        <f>+Roof!L43</f>
        <v>42481.445500000009</v>
      </c>
      <c r="H15" s="118">
        <f>+Roof!M43</f>
        <v>2963.0808236250004</v>
      </c>
      <c r="I15" s="195">
        <f>+Roof!N43</f>
        <v>6372.2168250000004</v>
      </c>
      <c r="K15" s="118">
        <f t="shared" ref="K15" si="3">+F15+G15+I15+H15-D15</f>
        <v>0</v>
      </c>
    </row>
    <row r="16" spans="2:13" x14ac:dyDescent="0.35">
      <c r="B16" s="113"/>
      <c r="D16" s="86"/>
      <c r="F16" s="194"/>
      <c r="H16" s="118"/>
      <c r="I16" s="195"/>
      <c r="K16" s="234"/>
    </row>
    <row r="17" spans="2:11" x14ac:dyDescent="0.35">
      <c r="B17" s="113" t="s">
        <v>167</v>
      </c>
      <c r="D17" s="86">
        <f>+'Windows, Doors &amp; Rooflights'!H45</f>
        <v>54931.273750000008</v>
      </c>
      <c r="F17" s="240">
        <f>+'Windows, Doors &amp; Rooflights'!M45</f>
        <v>15161.325000000001</v>
      </c>
      <c r="G17" s="241">
        <f>+'Windows, Doors &amp; Rooflights'!N45</f>
        <v>32605</v>
      </c>
      <c r="H17" s="118">
        <f>+'Windows, Doors &amp; Rooflights'!O45</f>
        <v>2274.1987500000005</v>
      </c>
      <c r="I17" s="195">
        <f>+'Windows, Doors &amp; Rooflights'!P45</f>
        <v>4890.7500000000009</v>
      </c>
      <c r="K17" s="118">
        <f t="shared" ref="K17" si="4">+F17+G17+I17+H17-D17</f>
        <v>0</v>
      </c>
    </row>
    <row r="18" spans="2:11" x14ac:dyDescent="0.35">
      <c r="B18" s="113"/>
      <c r="D18" s="86"/>
      <c r="F18" s="194"/>
      <c r="H18" s="118"/>
      <c r="I18" s="195"/>
      <c r="K18" s="234"/>
    </row>
    <row r="19" spans="2:11" x14ac:dyDescent="0.35">
      <c r="B19" s="113" t="s">
        <v>29</v>
      </c>
      <c r="D19" s="86">
        <f>+Partitions!F33</f>
        <v>30047.498728599996</v>
      </c>
      <c r="F19" s="240">
        <f>+Partitions!K33</f>
        <v>8293.2701639999996</v>
      </c>
      <c r="G19" s="241">
        <f>+Partitions!L33</f>
        <v>17834.989600000001</v>
      </c>
      <c r="H19" s="118">
        <f>+Partitions!M33</f>
        <v>1243.9905246000003</v>
      </c>
      <c r="I19" s="195">
        <f>+Partitions!N33</f>
        <v>2675.2484400000003</v>
      </c>
      <c r="K19" s="118">
        <f t="shared" ref="K19" si="5">+F19+G19+I19+H19-D19</f>
        <v>0</v>
      </c>
    </row>
    <row r="20" spans="2:11" x14ac:dyDescent="0.35">
      <c r="B20" s="113"/>
      <c r="D20" s="86"/>
      <c r="F20" s="194"/>
      <c r="H20" s="118"/>
      <c r="I20" s="195"/>
      <c r="K20" s="234"/>
    </row>
    <row r="21" spans="2:11" x14ac:dyDescent="0.35">
      <c r="B21" s="113" t="s">
        <v>20</v>
      </c>
      <c r="D21" s="86">
        <f>+Joinery!F37</f>
        <v>24948.392933750001</v>
      </c>
      <c r="F21" s="240">
        <f>+Joinery!K37</f>
        <v>6885.8897249999991</v>
      </c>
      <c r="G21" s="241">
        <f>+Joinery!L37</f>
        <v>14808.365000000002</v>
      </c>
      <c r="H21" s="118">
        <f>+Joinery!M37</f>
        <v>1032.88345875</v>
      </c>
      <c r="I21" s="195">
        <f>+Joinery!N37</f>
        <v>2221.2547500000001</v>
      </c>
      <c r="K21" s="118">
        <f t="shared" ref="K21" si="6">+F21+G21+I21+H21-D21</f>
        <v>0</v>
      </c>
    </row>
    <row r="22" spans="2:11" x14ac:dyDescent="0.35">
      <c r="B22" s="113"/>
      <c r="D22" s="86"/>
      <c r="F22" s="194"/>
      <c r="H22" s="118"/>
      <c r="I22" s="195"/>
      <c r="K22" s="234"/>
    </row>
    <row r="23" spans="2:11" x14ac:dyDescent="0.35">
      <c r="B23" s="113" t="s">
        <v>21</v>
      </c>
      <c r="D23" s="86">
        <f>+Decoration!F23</f>
        <v>34361.904075625003</v>
      </c>
      <c r="F23" s="240">
        <f>+Decoration!K23</f>
        <v>9484.0690875</v>
      </c>
      <c r="G23" s="241">
        <f>+Decoration!L23</f>
        <v>20395.8475</v>
      </c>
      <c r="H23" s="118">
        <f>+Decoration!M23</f>
        <v>1422.6103631250003</v>
      </c>
      <c r="I23" s="195">
        <f>+Decoration!N23</f>
        <v>3059.3771250000004</v>
      </c>
      <c r="K23" s="118">
        <f t="shared" ref="K23" si="7">+F23+G23+I23+H23-D23</f>
        <v>0</v>
      </c>
    </row>
    <row r="24" spans="2:11" x14ac:dyDescent="0.35">
      <c r="B24" s="113"/>
      <c r="D24" s="86"/>
      <c r="F24" s="194"/>
      <c r="H24" s="118"/>
      <c r="I24" s="195"/>
      <c r="K24" s="234"/>
    </row>
    <row r="25" spans="2:11" x14ac:dyDescent="0.35">
      <c r="B25" s="113" t="s">
        <v>30</v>
      </c>
      <c r="D25" s="86">
        <f>+'Floor finishes'!F21</f>
        <v>43364.209861250005</v>
      </c>
      <c r="F25" s="240">
        <f>+'Floor finishes'!K21</f>
        <v>11968.753575000001</v>
      </c>
      <c r="G25" s="241">
        <f>+'Floor finishes'!L21</f>
        <v>25739.255000000001</v>
      </c>
      <c r="H25" s="118">
        <f>+'Floor finishes'!M21</f>
        <v>1795.3130362500003</v>
      </c>
      <c r="I25" s="195">
        <f>+'Floor finishes'!N21</f>
        <v>3860.8882500000009</v>
      </c>
      <c r="K25" s="118">
        <f t="shared" ref="K25" si="8">+F25+G25+I25+H25-D25</f>
        <v>0</v>
      </c>
    </row>
    <row r="26" spans="2:11" x14ac:dyDescent="0.35">
      <c r="B26" s="113"/>
      <c r="D26" s="86"/>
      <c r="F26" s="194"/>
      <c r="H26" s="118"/>
      <c r="I26" s="195"/>
      <c r="K26" s="234"/>
    </row>
    <row r="27" spans="2:11" x14ac:dyDescent="0.35">
      <c r="B27" s="113" t="s">
        <v>59</v>
      </c>
      <c r="D27" s="86">
        <f>+'Wall finishes'!F18</f>
        <v>13910.287355035714</v>
      </c>
      <c r="F27" s="240">
        <f>+'Wall finishes'!K18</f>
        <v>3839.3136192857146</v>
      </c>
      <c r="G27" s="241">
        <f>+'Wall finishes'!L18</f>
        <v>8256.5884285714292</v>
      </c>
      <c r="H27" s="118">
        <f>+'Wall finishes'!M18</f>
        <v>575.89704289285726</v>
      </c>
      <c r="I27" s="195">
        <f>+'Wall finishes'!N18</f>
        <v>1238.4882642857144</v>
      </c>
      <c r="K27" s="118">
        <f t="shared" ref="K27" si="9">+F27+G27+I27+H27-D27</f>
        <v>0</v>
      </c>
    </row>
    <row r="28" spans="2:11" x14ac:dyDescent="0.35">
      <c r="B28" s="113"/>
      <c r="D28" s="86"/>
      <c r="F28" s="194"/>
      <c r="H28" s="118"/>
      <c r="I28" s="195"/>
      <c r="K28" s="234"/>
    </row>
    <row r="29" spans="2:11" x14ac:dyDescent="0.35">
      <c r="B29" s="113" t="s">
        <v>165</v>
      </c>
      <c r="D29" s="86">
        <f>+'Kitchens &amp; Bathrooms'!F54</f>
        <v>34577.31199875001</v>
      </c>
      <c r="F29" s="240">
        <f>+'Kitchens &amp; Bathrooms'!K54</f>
        <v>9543.5228250000018</v>
      </c>
      <c r="G29" s="241">
        <f>+'Kitchens &amp; Bathrooms'!L54</f>
        <v>20523.704999999998</v>
      </c>
      <c r="H29" s="118">
        <f>+'Kitchens &amp; Bathrooms'!M54</f>
        <v>1431.5284237500007</v>
      </c>
      <c r="I29" s="195">
        <f>+'Kitchens &amp; Bathrooms'!N54</f>
        <v>3078.5557500000004</v>
      </c>
      <c r="K29" s="118">
        <f t="shared" ref="K29" si="10">+F29+G29+I29+H29-D29</f>
        <v>0</v>
      </c>
    </row>
    <row r="30" spans="2:11" x14ac:dyDescent="0.35">
      <c r="B30" s="113"/>
      <c r="D30" s="86"/>
      <c r="F30" s="194"/>
      <c r="H30" s="118"/>
      <c r="I30" s="195"/>
      <c r="K30" s="234"/>
    </row>
    <row r="31" spans="2:11" x14ac:dyDescent="0.35">
      <c r="B31" s="113" t="s">
        <v>18</v>
      </c>
      <c r="D31" s="86">
        <f>+Electrical!F89</f>
        <v>92349.165225249992</v>
      </c>
      <c r="F31" s="240">
        <f>+Electrical!K89</f>
        <v>25488.862934999994</v>
      </c>
      <c r="G31" s="241">
        <f>+Electrical!L89</f>
        <v>54814.758999999991</v>
      </c>
      <c r="H31" s="118">
        <f>+Electrical!M89</f>
        <v>3823.3294402500014</v>
      </c>
      <c r="I31" s="195">
        <f>+Electrical!N89</f>
        <v>8222.2138500000001</v>
      </c>
      <c r="K31" s="118">
        <f t="shared" ref="K31" si="11">+F31+G31+I31+H31-D31</f>
        <v>0</v>
      </c>
    </row>
    <row r="32" spans="2:11" x14ac:dyDescent="0.35">
      <c r="B32" s="113"/>
      <c r="D32" s="86"/>
      <c r="F32" s="194"/>
      <c r="H32" s="118"/>
      <c r="I32" s="195"/>
      <c r="K32" s="234"/>
    </row>
    <row r="33" spans="2:13" x14ac:dyDescent="0.35">
      <c r="B33" s="113" t="s">
        <v>403</v>
      </c>
      <c r="D33" s="86">
        <f>+'Mechanical &amp; Plumbing'!F87</f>
        <v>55331.166010000008</v>
      </c>
      <c r="F33" s="240">
        <f>+'Mechanical &amp; Plumbing'!K87</f>
        <v>15271.697400000005</v>
      </c>
      <c r="G33" s="241">
        <f>+'Mechanical &amp; Plumbing'!L87</f>
        <v>32842.36</v>
      </c>
      <c r="H33" s="118">
        <f>+'Mechanical &amp; Plumbing'!M87</f>
        <v>2290.7546100000004</v>
      </c>
      <c r="I33" s="195">
        <f>+'Mechanical &amp; Plumbing'!N87</f>
        <v>4926.3540000000003</v>
      </c>
      <c r="K33" s="118">
        <f t="shared" ref="K33" si="12">+F33+G33+I33+H33-D33</f>
        <v>0</v>
      </c>
    </row>
    <row r="34" spans="2:13" x14ac:dyDescent="0.35">
      <c r="B34" s="113"/>
      <c r="D34" s="86"/>
      <c r="F34" s="194"/>
      <c r="H34" s="118"/>
      <c r="I34" s="195"/>
      <c r="K34" s="234"/>
    </row>
    <row r="35" spans="2:13" x14ac:dyDescent="0.35">
      <c r="B35" s="113" t="s">
        <v>45</v>
      </c>
      <c r="D35" s="86">
        <f>+Externals!F19</f>
        <v>28260.763061250003</v>
      </c>
      <c r="F35" s="240">
        <f>+Externals!K19</f>
        <v>7800.121575000001</v>
      </c>
      <c r="G35" s="241">
        <f>+Externals!L19</f>
        <v>16774.455000000002</v>
      </c>
      <c r="H35" s="118">
        <f>+Externals!M19</f>
        <v>1170.0182362500002</v>
      </c>
      <c r="I35" s="195">
        <f>+Externals!N19</f>
        <v>2516.1682500000006</v>
      </c>
      <c r="K35" s="118">
        <f>+F35+G35+I35+H35-D35</f>
        <v>0</v>
      </c>
    </row>
    <row r="36" spans="2:13" ht="16" thickBot="1" x14ac:dyDescent="0.4">
      <c r="B36" s="114"/>
      <c r="D36" s="86"/>
      <c r="F36" s="194"/>
      <c r="H36" s="118"/>
      <c r="I36" s="195"/>
      <c r="K36" s="234"/>
      <c r="M36" s="118"/>
    </row>
    <row r="37" spans="2:13" s="119" customFormat="1" ht="30.25" customHeight="1" thickBot="1" x14ac:dyDescent="0.4">
      <c r="B37" s="115" t="s">
        <v>117</v>
      </c>
      <c r="C37" s="116"/>
      <c r="D37" s="117">
        <f>SUM(D6:D36)</f>
        <v>843112.78079614521</v>
      </c>
      <c r="E37" s="88"/>
      <c r="F37" s="243">
        <f>SUM(F6:F35)</f>
        <v>257978.71744781567</v>
      </c>
      <c r="G37" s="242">
        <f>SUM(G6:G36)</f>
        <v>475162.83107057138</v>
      </c>
      <c r="H37" s="262">
        <f>SUM(H6:H36)</f>
        <v>38696.807617172366</v>
      </c>
      <c r="I37" s="239">
        <f>SUM(I6:I36)</f>
        <v>71274.424660585733</v>
      </c>
      <c r="J37" s="89"/>
      <c r="K37" s="118">
        <f>+F37+G37+I37+H37-D37</f>
        <v>0</v>
      </c>
      <c r="L37" s="89"/>
      <c r="M37" s="89"/>
    </row>
    <row r="38" spans="2:13" x14ac:dyDescent="0.35">
      <c r="B38" s="120"/>
      <c r="D38" s="121"/>
      <c r="F38" s="194"/>
      <c r="H38" s="118"/>
      <c r="I38" s="195"/>
    </row>
    <row r="39" spans="2:13" x14ac:dyDescent="0.35">
      <c r="B39" s="113" t="s">
        <v>9</v>
      </c>
      <c r="C39" s="122"/>
      <c r="D39" s="121">
        <f>+Preliminaries!F38</f>
        <v>0</v>
      </c>
      <c r="F39" s="194"/>
      <c r="H39" s="118"/>
      <c r="I39" s="195"/>
    </row>
    <row r="40" spans="2:13" x14ac:dyDescent="0.35">
      <c r="B40" s="113" t="s">
        <v>198</v>
      </c>
      <c r="C40" s="122"/>
      <c r="D40" s="121">
        <f>+Preliminaries!F39</f>
        <v>18000</v>
      </c>
      <c r="F40" s="194"/>
      <c r="H40" s="118"/>
      <c r="I40" s="195"/>
    </row>
    <row r="41" spans="2:13" ht="16" thickBot="1" x14ac:dyDescent="0.4">
      <c r="B41" s="120"/>
      <c r="D41" s="121"/>
      <c r="F41" s="194"/>
      <c r="H41" s="118"/>
      <c r="I41" s="195"/>
    </row>
    <row r="42" spans="2:13" ht="34.5" customHeight="1" thickBot="1" x14ac:dyDescent="0.4">
      <c r="B42" s="123" t="s">
        <v>118</v>
      </c>
      <c r="C42" s="116"/>
      <c r="D42" s="117">
        <f>+D40+D37</f>
        <v>861112.78079614521</v>
      </c>
      <c r="F42" s="194"/>
      <c r="I42" s="235"/>
    </row>
    <row r="43" spans="2:13" x14ac:dyDescent="0.35">
      <c r="B43" s="124"/>
      <c r="C43" s="125"/>
      <c r="D43" s="126"/>
      <c r="F43" s="194"/>
      <c r="I43" s="235"/>
    </row>
    <row r="44" spans="2:13" x14ac:dyDescent="0.35">
      <c r="B44" s="127" t="s">
        <v>119</v>
      </c>
      <c r="C44" s="128">
        <f>+Preliminaries!J4</f>
        <v>0</v>
      </c>
      <c r="D44" s="129" t="s">
        <v>120</v>
      </c>
      <c r="F44" s="194"/>
      <c r="I44" s="235"/>
    </row>
    <row r="45" spans="2:13" ht="16" thickBot="1" x14ac:dyDescent="0.4">
      <c r="B45" s="130"/>
      <c r="C45" s="131"/>
      <c r="D45" s="87"/>
      <c r="F45" s="236"/>
      <c r="G45" s="237"/>
      <c r="H45" s="264"/>
      <c r="I45" s="238"/>
    </row>
    <row r="54" spans="2:13" s="88" customFormat="1" x14ac:dyDescent="0.35">
      <c r="B54" s="132"/>
      <c r="C54" s="133"/>
      <c r="D54" s="134"/>
      <c r="F54" s="118"/>
      <c r="G54" s="118"/>
      <c r="H54" s="234"/>
      <c r="I54" s="234"/>
      <c r="J54" s="89"/>
      <c r="K54" s="89"/>
      <c r="L54" s="89"/>
      <c r="M54" s="89"/>
    </row>
    <row r="55" spans="2:13" s="88" customFormat="1" x14ac:dyDescent="0.35">
      <c r="B55" s="132"/>
      <c r="C55" s="133"/>
      <c r="D55" s="134"/>
      <c r="F55" s="118"/>
      <c r="G55" s="118"/>
      <c r="H55" s="234"/>
      <c r="I55" s="234"/>
      <c r="J55" s="89"/>
      <c r="K55" s="89"/>
      <c r="L55" s="89"/>
      <c r="M55" s="89"/>
    </row>
    <row r="56" spans="2:13" s="88" customFormat="1" x14ac:dyDescent="0.35">
      <c r="B56" s="132"/>
      <c r="C56" s="133"/>
      <c r="D56" s="134"/>
      <c r="F56" s="118"/>
      <c r="G56" s="118"/>
      <c r="H56" s="234"/>
      <c r="I56" s="234"/>
      <c r="J56" s="89"/>
      <c r="K56" s="89"/>
      <c r="L56" s="89"/>
      <c r="M56" s="89"/>
    </row>
    <row r="57" spans="2:13" s="88" customFormat="1" x14ac:dyDescent="0.35">
      <c r="B57" s="135"/>
      <c r="C57" s="85"/>
      <c r="D57" s="90"/>
      <c r="F57" s="118"/>
      <c r="G57" s="118"/>
      <c r="H57" s="234"/>
      <c r="I57" s="234"/>
      <c r="J57" s="89"/>
      <c r="K57" s="89"/>
      <c r="L57" s="89"/>
      <c r="M57" s="89"/>
    </row>
    <row r="58" spans="2:13" s="88" customFormat="1" x14ac:dyDescent="0.35">
      <c r="B58" s="136"/>
      <c r="C58" s="137"/>
      <c r="D58" s="138"/>
      <c r="F58" s="118"/>
      <c r="G58" s="118"/>
      <c r="H58" s="234"/>
      <c r="I58" s="234"/>
      <c r="J58" s="89"/>
      <c r="K58" s="89"/>
      <c r="L58" s="89"/>
      <c r="M58" s="89"/>
    </row>
    <row r="60" spans="2:13" s="88" customFormat="1" x14ac:dyDescent="0.35">
      <c r="B60" s="136"/>
      <c r="C60" s="137"/>
      <c r="D60" s="138"/>
      <c r="F60" s="118"/>
      <c r="G60" s="118"/>
      <c r="H60" s="234"/>
      <c r="I60" s="234"/>
      <c r="J60" s="89"/>
      <c r="K60" s="89"/>
      <c r="L60" s="89"/>
      <c r="M60" s="89"/>
    </row>
    <row r="63" spans="2:13" s="88" customFormat="1" x14ac:dyDescent="0.35">
      <c r="B63" s="136"/>
      <c r="C63" s="137"/>
      <c r="D63" s="138"/>
      <c r="F63" s="118"/>
      <c r="G63" s="118"/>
      <c r="H63" s="234"/>
      <c r="I63" s="234"/>
      <c r="J63" s="89"/>
      <c r="K63" s="89"/>
      <c r="L63" s="89"/>
      <c r="M63" s="89"/>
    </row>
    <row r="64" spans="2:13" s="88" customFormat="1" x14ac:dyDescent="0.35">
      <c r="B64" s="139"/>
      <c r="C64" s="140"/>
      <c r="D64" s="141"/>
      <c r="F64" s="118"/>
      <c r="G64" s="118"/>
      <c r="H64" s="234"/>
      <c r="I64" s="234"/>
      <c r="J64" s="89"/>
      <c r="K64" s="89"/>
      <c r="L64" s="89"/>
      <c r="M64" s="89"/>
    </row>
    <row r="66" spans="2:13" s="88" customFormat="1" x14ac:dyDescent="0.35">
      <c r="B66" s="135"/>
      <c r="C66" s="85"/>
      <c r="D66" s="90"/>
      <c r="F66" s="118"/>
      <c r="G66" s="118"/>
      <c r="H66" s="234"/>
      <c r="I66" s="234"/>
      <c r="J66" s="89"/>
      <c r="K66" s="89"/>
      <c r="L66" s="89"/>
      <c r="M66" s="89"/>
    </row>
  </sheetData>
  <mergeCells count="3">
    <mergeCell ref="B5:D5"/>
    <mergeCell ref="F4:I4"/>
    <mergeCell ref="L5:M5"/>
  </mergeCells>
  <conditionalFormatting sqref="K7 K9 K11 K13 K15 K17 K19 K21 K23 K25 K27 K29 K31 K33 K35">
    <cfRule type="cellIs" dxfId="125" priority="9" operator="equal">
      <formula>0</formula>
    </cfRule>
    <cfRule type="cellIs" dxfId="124" priority="10" operator="notEqual">
      <formula>0</formula>
    </cfRule>
  </conditionalFormatting>
  <conditionalFormatting sqref="K37">
    <cfRule type="cellIs" dxfId="123" priority="7" operator="equal">
      <formula>0</formula>
    </cfRule>
    <cfRule type="cellIs" dxfId="122" priority="8" operator="notEqual">
      <formula>0</formula>
    </cfRule>
  </conditionalFormatting>
  <conditionalFormatting sqref="L5">
    <cfRule type="containsText" dxfId="121" priority="2" operator="containsText" text="No Missing Sheets">
      <formula>NOT(ISERROR(SEARCH("No Missing Sheets",L5)))</formula>
    </cfRule>
  </conditionalFormatting>
  <conditionalFormatting sqref="L5:M5">
    <cfRule type="cellIs" dxfId="120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pageSetUpPr fitToPage="1"/>
  </sheetPr>
  <dimension ref="A1:S20"/>
  <sheetViews>
    <sheetView zoomScale="68" zoomScaleNormal="70" workbookViewId="0">
      <selection activeCell="N20" sqref="N20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16" customWidth="1"/>
    <col min="15" max="15" width="12.453125" style="143" customWidth="1"/>
    <col min="16" max="16" width="12.453125" style="72" customWidth="1"/>
    <col min="17" max="17" width="12.453125" style="20" customWidth="1"/>
    <col min="18" max="18" width="10.453125" style="16" bestFit="1" customWidth="1"/>
    <col min="19" max="16384" width="9.08984375" style="16"/>
  </cols>
  <sheetData>
    <row r="1" spans="1:17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7" x14ac:dyDescent="0.35">
      <c r="A2" s="15"/>
      <c r="B2" s="3" t="str">
        <f>+'Qual, Excl &amp; Assum'!B2</f>
        <v>PROJECT NAME: SQUAIRRELS LEAP GUILDFORD ROAD, CHERTSEY KT16 9RU</v>
      </c>
      <c r="F2" s="35"/>
    </row>
    <row r="3" spans="1:17" x14ac:dyDescent="0.35">
      <c r="A3" s="15"/>
      <c r="B3" s="53" t="str">
        <f>+'Qual, Excl &amp; Assum'!B3</f>
        <v>DATE: 25TH NOVEMBER 2025</v>
      </c>
      <c r="F3" s="35"/>
    </row>
    <row r="4" spans="1:17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O4" s="143"/>
      <c r="P4" s="72"/>
      <c r="Q4" s="20"/>
    </row>
    <row r="5" spans="1:17" s="21" customFormat="1" ht="38.25" customHeight="1" thickBot="1" x14ac:dyDescent="0.55000000000000004">
      <c r="A5" s="188"/>
      <c r="B5" s="192" t="s">
        <v>15</v>
      </c>
      <c r="C5" s="189"/>
      <c r="D5" s="190"/>
      <c r="E5" s="191"/>
      <c r="F5" s="196"/>
      <c r="G5" s="359" t="s">
        <v>121</v>
      </c>
      <c r="H5" s="360"/>
      <c r="I5" s="360"/>
      <c r="J5" s="361"/>
      <c r="K5" s="359" t="s">
        <v>122</v>
      </c>
      <c r="L5" s="360"/>
      <c r="M5" s="360"/>
      <c r="N5" s="361"/>
      <c r="O5" s="143"/>
      <c r="P5" s="72"/>
      <c r="Q5" s="20"/>
    </row>
    <row r="6" spans="1:17" s="21" customFormat="1" ht="18.5" x14ac:dyDescent="0.45">
      <c r="A6" s="49"/>
      <c r="B6" s="38"/>
      <c r="C6" s="144"/>
      <c r="D6" s="38"/>
      <c r="E6" s="64"/>
      <c r="F6" s="197"/>
      <c r="G6" s="251"/>
      <c r="H6" s="64"/>
      <c r="I6" s="64"/>
      <c r="J6" s="202"/>
      <c r="K6" s="204"/>
      <c r="L6" s="38"/>
      <c r="M6" s="38"/>
      <c r="N6" s="202"/>
      <c r="O6" s="143"/>
      <c r="P6" s="72"/>
      <c r="Q6" s="20"/>
    </row>
    <row r="7" spans="1:17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  <c r="O7" s="148"/>
      <c r="P7" s="193"/>
      <c r="Q7" s="54"/>
    </row>
    <row r="8" spans="1:17" s="21" customFormat="1" ht="18.5" x14ac:dyDescent="0.45">
      <c r="A8" s="49"/>
      <c r="B8" s="149"/>
      <c r="C8" s="147"/>
      <c r="D8" s="61"/>
      <c r="E8" s="62"/>
      <c r="F8" s="198"/>
      <c r="G8" s="252"/>
      <c r="H8" s="62"/>
      <c r="I8" s="62"/>
      <c r="J8" s="203"/>
      <c r="K8" s="205"/>
      <c r="L8" s="61"/>
      <c r="M8" s="61"/>
      <c r="N8" s="199" t="str">
        <f t="shared" ref="N8" si="0">IF(D8=0," ",(J8*C8))</f>
        <v xml:space="preserve"> </v>
      </c>
      <c r="O8" s="143"/>
      <c r="P8" s="72"/>
      <c r="Q8" s="20"/>
    </row>
    <row r="9" spans="1:17" s="21" customFormat="1" ht="18.5" x14ac:dyDescent="0.45">
      <c r="A9" s="49">
        <v>1</v>
      </c>
      <c r="B9" s="151" t="s">
        <v>394</v>
      </c>
      <c r="C9" s="144">
        <v>1</v>
      </c>
      <c r="D9" s="51" t="s">
        <v>12</v>
      </c>
      <c r="E9" s="48">
        <f>G9+H9+J9+I9</f>
        <v>419.75</v>
      </c>
      <c r="F9" s="199">
        <f>E9*C9</f>
        <v>419.75</v>
      </c>
      <c r="G9" s="59">
        <v>365</v>
      </c>
      <c r="H9" s="48"/>
      <c r="I9" s="48">
        <f>IF(D9=0," ",(G9)*([1]Details!$C$4+[1]Details!$C$8))</f>
        <v>54.750000000000007</v>
      </c>
      <c r="J9" s="199">
        <f>IF(D9=0," ",(H9)*([1]Details!$C$6+[1]Details!$C$8))</f>
        <v>0</v>
      </c>
      <c r="K9" s="59">
        <f>+G9*C9</f>
        <v>365</v>
      </c>
      <c r="L9" s="48">
        <f>+H9*C9</f>
        <v>0</v>
      </c>
      <c r="M9" s="48">
        <f>IF(D9=0," ",(I9*C9))</f>
        <v>54.750000000000007</v>
      </c>
      <c r="N9" s="199">
        <f>IF(D9=0," ",(J9*C9))</f>
        <v>0</v>
      </c>
      <c r="O9" s="143"/>
      <c r="P9" s="72"/>
      <c r="Q9" s="20"/>
    </row>
    <row r="10" spans="1:17" s="21" customFormat="1" ht="18.5" x14ac:dyDescent="0.45">
      <c r="A10" s="49"/>
      <c r="B10" s="151"/>
      <c r="C10" s="144"/>
      <c r="D10" s="51"/>
      <c r="E10" s="48"/>
      <c r="F10" s="199"/>
      <c r="G10" s="59"/>
      <c r="H10" s="48"/>
      <c r="I10" s="48"/>
      <c r="J10" s="199"/>
      <c r="K10" s="59"/>
      <c r="L10" s="48"/>
      <c r="M10" s="48"/>
      <c r="N10" s="199"/>
      <c r="O10" s="143"/>
      <c r="P10" s="72"/>
      <c r="Q10" s="20"/>
    </row>
    <row r="11" spans="1:17" s="21" customFormat="1" ht="18.5" x14ac:dyDescent="0.45">
      <c r="A11" s="75">
        <f>IF(F11&lt;&gt;"",(LARGE(A$7:A9,1)+1),"")</f>
        <v>2</v>
      </c>
      <c r="B11" s="151" t="s">
        <v>262</v>
      </c>
      <c r="C11" s="144">
        <f>3*83.6</f>
        <v>250.79999999999998</v>
      </c>
      <c r="D11" s="51" t="s">
        <v>10</v>
      </c>
      <c r="E11" s="48">
        <f t="shared" ref="E11:E17" si="1">G11+H11+J11+I11</f>
        <v>18.975000000000001</v>
      </c>
      <c r="F11" s="199">
        <f t="shared" ref="F11:F17" si="2">E11*C11</f>
        <v>4758.93</v>
      </c>
      <c r="G11" s="59">
        <v>16.5</v>
      </c>
      <c r="H11" s="48"/>
      <c r="I11" s="48">
        <f>IF(D11=0," ",(G11)*([1]Details!$C$4+[1]Details!$C$8))</f>
        <v>2.4750000000000005</v>
      </c>
      <c r="J11" s="199">
        <f>IF(D11=0," ",(H11)*([1]Details!$C$6+[1]Details!$C$8))</f>
        <v>0</v>
      </c>
      <c r="K11" s="59">
        <f t="shared" ref="K11:K17" si="3">+G11*C11</f>
        <v>4138.2</v>
      </c>
      <c r="L11" s="48">
        <f t="shared" ref="L11:L17" si="4">+H11*C11</f>
        <v>0</v>
      </c>
      <c r="M11" s="48">
        <f t="shared" ref="M11:M17" si="5">IF(D11=0," ",(I11*C11))</f>
        <v>620.73000000000013</v>
      </c>
      <c r="N11" s="199">
        <f t="shared" ref="N11:N17" si="6">IF(D11=0," ",(J11*C11))</f>
        <v>0</v>
      </c>
      <c r="O11" s="143"/>
      <c r="P11" s="72"/>
      <c r="Q11" s="20"/>
    </row>
    <row r="12" spans="1:17" s="21" customFormat="1" ht="18.5" x14ac:dyDescent="0.45">
      <c r="A12" s="75"/>
      <c r="B12" s="151"/>
      <c r="C12" s="144"/>
      <c r="D12" s="51"/>
      <c r="E12" s="48"/>
      <c r="F12" s="199"/>
      <c r="G12" s="59"/>
      <c r="H12" s="48"/>
      <c r="I12" s="48"/>
      <c r="J12" s="199"/>
      <c r="K12" s="59"/>
      <c r="L12" s="48"/>
      <c r="M12" s="48"/>
      <c r="N12" s="199"/>
      <c r="O12" s="143"/>
      <c r="P12" s="72"/>
      <c r="Q12" s="20"/>
    </row>
    <row r="13" spans="1:17" s="21" customFormat="1" ht="18.5" x14ac:dyDescent="0.45">
      <c r="A13" s="75">
        <f>IF(F13&lt;&gt;"",(LARGE(A$7:A11,1)+1),"")</f>
        <v>3</v>
      </c>
      <c r="B13" s="151" t="s">
        <v>263</v>
      </c>
      <c r="C13" s="144">
        <v>1.42</v>
      </c>
      <c r="D13" s="51" t="s">
        <v>10</v>
      </c>
      <c r="E13" s="48">
        <f t="shared" si="1"/>
        <v>25.875</v>
      </c>
      <c r="F13" s="199">
        <f t="shared" si="2"/>
        <v>36.7425</v>
      </c>
      <c r="G13" s="59">
        <v>22.5</v>
      </c>
      <c r="H13" s="48"/>
      <c r="I13" s="48">
        <f>IF(D13=0," ",(G13)*([1]Details!$C$4+[1]Details!$C$8))</f>
        <v>3.3750000000000004</v>
      </c>
      <c r="J13" s="199">
        <f>IF(D13=0," ",(H13)*([1]Details!$C$6+[1]Details!$C$8))</f>
        <v>0</v>
      </c>
      <c r="K13" s="59">
        <f t="shared" si="3"/>
        <v>31.95</v>
      </c>
      <c r="L13" s="48">
        <f t="shared" si="4"/>
        <v>0</v>
      </c>
      <c r="M13" s="48">
        <f t="shared" si="5"/>
        <v>4.7925000000000004</v>
      </c>
      <c r="N13" s="199">
        <f t="shared" si="6"/>
        <v>0</v>
      </c>
      <c r="O13" s="143"/>
      <c r="P13" s="72"/>
      <c r="Q13" s="20"/>
    </row>
    <row r="14" spans="1:17" s="21" customFormat="1" ht="18.5" x14ac:dyDescent="0.45">
      <c r="A14" s="75"/>
      <c r="B14" s="151"/>
      <c r="C14" s="144"/>
      <c r="D14" s="51"/>
      <c r="E14" s="48"/>
      <c r="F14" s="199"/>
      <c r="G14" s="59"/>
      <c r="H14" s="48"/>
      <c r="I14" s="48"/>
      <c r="J14" s="199"/>
      <c r="K14" s="59"/>
      <c r="L14" s="48"/>
      <c r="M14" s="48"/>
      <c r="N14" s="199"/>
      <c r="O14" s="143"/>
      <c r="P14" s="72"/>
      <c r="Q14" s="20"/>
    </row>
    <row r="15" spans="1:17" s="21" customFormat="1" ht="37" x14ac:dyDescent="0.45">
      <c r="A15" s="75">
        <f>IF(F15&lt;&gt;"",(LARGE(A$7:A13,1)+1),"")</f>
        <v>4</v>
      </c>
      <c r="B15" s="151" t="s">
        <v>264</v>
      </c>
      <c r="C15" s="144">
        <v>37.619999999999997</v>
      </c>
      <c r="D15" s="51" t="s">
        <v>10</v>
      </c>
      <c r="E15" s="48">
        <f t="shared" si="1"/>
        <v>17.824999999999999</v>
      </c>
      <c r="F15" s="199">
        <f t="shared" si="2"/>
        <v>670.5764999999999</v>
      </c>
      <c r="G15" s="59">
        <v>15.5</v>
      </c>
      <c r="H15" s="48"/>
      <c r="I15" s="48">
        <f>IF(D15=0," ",(G15)*([1]Details!$C$4+[1]Details!$C$8))</f>
        <v>2.3250000000000002</v>
      </c>
      <c r="J15" s="199">
        <f>IF(D15=0," ",(H15)*([1]Details!$C$6+[1]Details!$C$8))</f>
        <v>0</v>
      </c>
      <c r="K15" s="59">
        <f t="shared" si="3"/>
        <v>583.11</v>
      </c>
      <c r="L15" s="48">
        <f t="shared" si="4"/>
        <v>0</v>
      </c>
      <c r="M15" s="48">
        <f t="shared" si="5"/>
        <v>87.466499999999996</v>
      </c>
      <c r="N15" s="199">
        <f t="shared" si="6"/>
        <v>0</v>
      </c>
      <c r="O15" s="143"/>
      <c r="P15" s="72"/>
      <c r="Q15" s="20"/>
    </row>
    <row r="16" spans="1:17" s="21" customFormat="1" ht="18.5" x14ac:dyDescent="0.45">
      <c r="A16" s="75"/>
      <c r="B16" s="151"/>
      <c r="C16" s="144"/>
      <c r="D16" s="51"/>
      <c r="E16" s="48"/>
      <c r="F16" s="199"/>
      <c r="G16" s="59"/>
      <c r="H16" s="48"/>
      <c r="I16" s="48"/>
      <c r="J16" s="199"/>
      <c r="K16" s="59"/>
      <c r="L16" s="48"/>
      <c r="M16" s="48"/>
      <c r="N16" s="199"/>
      <c r="O16" s="143"/>
      <c r="P16" s="72"/>
      <c r="Q16" s="20"/>
    </row>
    <row r="17" spans="1:19" s="21" customFormat="1" ht="18.5" x14ac:dyDescent="0.45">
      <c r="A17" s="75">
        <f>IF(F17&lt;&gt;"",(LARGE(A$7:A15,1)+1),"")</f>
        <v>5</v>
      </c>
      <c r="B17" s="151" t="s">
        <v>265</v>
      </c>
      <c r="C17" s="144">
        <v>31.72</v>
      </c>
      <c r="D17" s="51" t="s">
        <v>10</v>
      </c>
      <c r="E17" s="48">
        <f t="shared" si="1"/>
        <v>27.024999999999999</v>
      </c>
      <c r="F17" s="199">
        <f t="shared" si="2"/>
        <v>857.23299999999995</v>
      </c>
      <c r="G17" s="59">
        <v>23.5</v>
      </c>
      <c r="H17" s="48"/>
      <c r="I17" s="48">
        <f>IF(D17=0," ",(G17)*([1]Details!$C$4+[1]Details!$C$8))</f>
        <v>3.5250000000000004</v>
      </c>
      <c r="J17" s="199">
        <f>IF(D17=0," ",(H17)*([1]Details!$C$6+[1]Details!$C$8))</f>
        <v>0</v>
      </c>
      <c r="K17" s="59">
        <f t="shared" si="3"/>
        <v>745.42</v>
      </c>
      <c r="L17" s="48">
        <f t="shared" si="4"/>
        <v>0</v>
      </c>
      <c r="M17" s="48">
        <f t="shared" si="5"/>
        <v>111.813</v>
      </c>
      <c r="N17" s="199">
        <f t="shared" si="6"/>
        <v>0</v>
      </c>
      <c r="O17" s="143"/>
      <c r="P17" s="72"/>
      <c r="Q17" s="20"/>
    </row>
    <row r="18" spans="1:19" s="21" customFormat="1" ht="18.5" x14ac:dyDescent="0.45">
      <c r="A18" s="75" t="str">
        <f>IF(F18&lt;&gt;"",(LARGE(A$7:A17,1)+1),"")</f>
        <v/>
      </c>
      <c r="B18" s="151"/>
      <c r="C18" s="144"/>
      <c r="D18" s="51"/>
      <c r="E18" s="48"/>
      <c r="F18" s="199"/>
      <c r="G18" s="59"/>
      <c r="H18" s="48"/>
      <c r="I18" s="48"/>
      <c r="J18" s="199" t="str">
        <f>IF(D18=0," ",(G18+H18)*(Details!$C$4+Details!$C$6))</f>
        <v xml:space="preserve"> </v>
      </c>
      <c r="K18" s="59"/>
      <c r="L18" s="48"/>
      <c r="M18" s="48"/>
      <c r="N18" s="199"/>
      <c r="O18" s="143"/>
      <c r="P18" s="72"/>
      <c r="Q18" s="20"/>
    </row>
    <row r="19" spans="1:19" s="21" customFormat="1" ht="19" thickBot="1" x14ac:dyDescent="0.5">
      <c r="A19" s="49"/>
      <c r="B19" s="154"/>
      <c r="C19" s="144"/>
      <c r="D19" s="60"/>
      <c r="E19" s="62" t="s">
        <v>97</v>
      </c>
      <c r="F19" s="200">
        <f>SUM(F8:F18)</f>
        <v>6743.2320000000009</v>
      </c>
      <c r="G19" s="59"/>
      <c r="H19" s="48"/>
      <c r="I19" s="48"/>
      <c r="J19" s="199"/>
      <c r="K19" s="248">
        <f>SUM(K8:K18)</f>
        <v>5863.6799999999994</v>
      </c>
      <c r="L19" s="249">
        <f>SUM(L8:L18)</f>
        <v>0</v>
      </c>
      <c r="M19" s="249">
        <f>SUM(M8:M18)</f>
        <v>879.55200000000013</v>
      </c>
      <c r="N19" s="200">
        <f>SUM(N8:N18)</f>
        <v>0</v>
      </c>
      <c r="O19" s="143"/>
      <c r="P19" s="72"/>
      <c r="Q19" s="20"/>
      <c r="S19" s="55"/>
    </row>
    <row r="20" spans="1:19" s="21" customFormat="1" ht="19.5" thickTop="1" thickBot="1" x14ac:dyDescent="0.5">
      <c r="A20" s="155"/>
      <c r="B20" s="156"/>
      <c r="C20" s="157"/>
      <c r="D20" s="63"/>
      <c r="E20" s="65"/>
      <c r="F20" s="201"/>
      <c r="G20" s="66"/>
      <c r="H20" s="65"/>
      <c r="I20" s="65"/>
      <c r="J20" s="67"/>
      <c r="K20" s="66"/>
      <c r="L20" s="65"/>
      <c r="M20" s="65"/>
      <c r="N20" s="67"/>
      <c r="O20" s="143"/>
      <c r="P20" s="72"/>
      <c r="Q20" s="20"/>
      <c r="S20" s="55"/>
    </row>
  </sheetData>
  <mergeCells count="2">
    <mergeCell ref="G5:J5"/>
    <mergeCell ref="K5:N5"/>
  </mergeCells>
  <conditionalFormatting sqref="G1:G4 G6 G8:G9934">
    <cfRule type="notContainsBlanks" dxfId="119" priority="6">
      <formula>LEN(TRIM(G1))&gt;0</formula>
    </cfRule>
  </conditionalFormatting>
  <conditionalFormatting sqref="H9:H17 H18:I10510">
    <cfRule type="notContainsBlanks" dxfId="118" priority="1">
      <formula>LEN(TRIM(H9))&gt;0</formula>
    </cfRule>
  </conditionalFormatting>
  <conditionalFormatting sqref="H1:I4 H8:I8">
    <cfRule type="notContainsBlanks" dxfId="117" priority="5">
      <formula>LEN(TRIM(H1))&gt;0</formula>
    </cfRule>
  </conditionalFormatting>
  <conditionalFormatting sqref="P19">
    <cfRule type="cellIs" dxfId="116" priority="3" operator="equal">
      <formula>0</formula>
    </cfRule>
    <cfRule type="cellIs" dxfId="115" priority="4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Q38"/>
  <sheetViews>
    <sheetView zoomScale="55" zoomScaleNormal="55" workbookViewId="0">
      <selection activeCell="W27" sqref="W27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20" customWidth="1"/>
    <col min="15" max="15" width="10.453125" style="16" bestFit="1" customWidth="1"/>
    <col min="16" max="16384" width="9.08984375" style="16"/>
  </cols>
  <sheetData>
    <row r="1" spans="1:17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7" x14ac:dyDescent="0.35">
      <c r="A2" s="15"/>
      <c r="B2" s="3" t="str">
        <f>+'Qual, Excl &amp; Assum'!B2</f>
        <v>PROJECT NAME: SQUAIRRELS LEAP GUILDFORD ROAD, CHERTSEY KT16 9RU</v>
      </c>
      <c r="F2" s="35"/>
    </row>
    <row r="3" spans="1:17" x14ac:dyDescent="0.35">
      <c r="A3" s="15"/>
      <c r="B3" s="53" t="str">
        <f>+'Qual, Excl &amp; Assum'!B3</f>
        <v>DATE: 25TH NOVEMBER 2025</v>
      </c>
      <c r="F3" s="35"/>
    </row>
    <row r="4" spans="1:17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17" s="21" customFormat="1" ht="37.5" customHeight="1" thickBot="1" x14ac:dyDescent="0.55000000000000004">
      <c r="A5" s="188"/>
      <c r="B5" s="192" t="s">
        <v>17</v>
      </c>
      <c r="C5" s="189"/>
      <c r="D5" s="190"/>
      <c r="E5" s="191"/>
      <c r="F5" s="196"/>
      <c r="G5" s="359" t="s">
        <v>121</v>
      </c>
      <c r="H5" s="360"/>
      <c r="I5" s="360"/>
      <c r="J5" s="361"/>
      <c r="K5" s="360" t="s">
        <v>122</v>
      </c>
      <c r="L5" s="360"/>
      <c r="M5" s="360"/>
      <c r="N5" s="361"/>
    </row>
    <row r="6" spans="1:17" s="21" customFormat="1" ht="18.5" x14ac:dyDescent="0.45">
      <c r="A6" s="49"/>
      <c r="B6" s="38"/>
      <c r="C6" s="144"/>
      <c r="D6" s="38"/>
      <c r="E6" s="64"/>
      <c r="F6" s="197"/>
      <c r="G6" s="251"/>
      <c r="H6" s="64"/>
      <c r="I6" s="64"/>
      <c r="J6" s="202"/>
      <c r="K6" s="20"/>
      <c r="L6" s="20"/>
      <c r="M6" s="20"/>
      <c r="N6" s="35"/>
    </row>
    <row r="7" spans="1:17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7" s="21" customFormat="1" ht="18.5" x14ac:dyDescent="0.45">
      <c r="A8" s="49"/>
      <c r="B8" s="158"/>
      <c r="C8" s="147"/>
      <c r="D8" s="61"/>
      <c r="E8" s="62"/>
      <c r="F8" s="198"/>
      <c r="G8" s="59"/>
      <c r="H8" s="48"/>
      <c r="I8" s="48"/>
      <c r="J8" s="203"/>
      <c r="K8" s="20"/>
      <c r="L8" s="20"/>
      <c r="M8" s="20"/>
      <c r="N8" s="199" t="str">
        <f t="shared" ref="N8:N34" si="0">IF(D8=0," ",(J8*C8))</f>
        <v xml:space="preserve"> </v>
      </c>
    </row>
    <row r="9" spans="1:17" s="38" customFormat="1" ht="18.5" x14ac:dyDescent="0.45">
      <c r="A9" s="75" t="str">
        <f>IF(F9&lt;&gt;"",(LARGE(A$7:A8,1)+1),"")</f>
        <v/>
      </c>
      <c r="B9" s="159" t="s">
        <v>202</v>
      </c>
      <c r="C9" s="144"/>
      <c r="D9" s="51"/>
      <c r="E9" s="48"/>
      <c r="F9" s="199"/>
      <c r="G9" s="59"/>
      <c r="H9" s="48"/>
      <c r="I9" s="48" t="str">
        <f>IF(D9=0," ",(G9)*(Details!$C$4+Details!$C$8))</f>
        <v xml:space="preserve"> </v>
      </c>
      <c r="J9" s="199" t="str">
        <f>IF(D9=0," ",(H9)*(Details!$C$6+Details!$C$8))</f>
        <v xml:space="preserve"> </v>
      </c>
      <c r="K9" s="97"/>
      <c r="L9" s="97"/>
      <c r="M9" s="97"/>
      <c r="N9" s="199" t="str">
        <f t="shared" si="0"/>
        <v xml:space="preserve"> </v>
      </c>
    </row>
    <row r="10" spans="1:17" s="38" customFormat="1" ht="18.5" x14ac:dyDescent="0.45">
      <c r="A10" s="75" t="str">
        <f>IF(F10&lt;&gt;"",(LARGE(A$7:A9,1)+1),"")</f>
        <v/>
      </c>
      <c r="C10" s="144"/>
      <c r="D10" s="51"/>
      <c r="E10" s="48"/>
      <c r="F10" s="199"/>
      <c r="G10" s="59"/>
      <c r="H10" s="48"/>
      <c r="I10" s="48"/>
      <c r="J10" s="199"/>
      <c r="K10" s="97"/>
      <c r="L10" s="97"/>
      <c r="M10" s="97"/>
      <c r="N10" s="199" t="str">
        <f t="shared" si="0"/>
        <v xml:space="preserve"> </v>
      </c>
    </row>
    <row r="11" spans="1:17" s="38" customFormat="1" ht="18.5" x14ac:dyDescent="0.45">
      <c r="A11" s="75">
        <v>1</v>
      </c>
      <c r="B11" s="38" t="s">
        <v>203</v>
      </c>
      <c r="C11" s="144">
        <f>148.66*3</f>
        <v>445.98</v>
      </c>
      <c r="D11" s="51" t="s">
        <v>37</v>
      </c>
      <c r="E11" s="48">
        <f>G11+H11+J11+I11</f>
        <v>48.875</v>
      </c>
      <c r="F11" s="199">
        <f>E11*C11</f>
        <v>21797.272499999999</v>
      </c>
      <c r="G11" s="59">
        <v>42.5</v>
      </c>
      <c r="H11" s="48"/>
      <c r="I11" s="48">
        <f>IF(D11=0," ",(G11)*(Details!$C$4+Details!$C$8))</f>
        <v>6.3750000000000009</v>
      </c>
      <c r="J11" s="199">
        <f>IF(D11=0," ",(H11)*(Details!$C$6+Details!$C$8))</f>
        <v>0</v>
      </c>
      <c r="K11" s="59">
        <f>+G11*C11</f>
        <v>18954.150000000001</v>
      </c>
      <c r="L11" s="48">
        <f>+H11*C11</f>
        <v>0</v>
      </c>
      <c r="M11" s="48">
        <f>IF(D11=0," ",(I11*C11))</f>
        <v>2843.1225000000004</v>
      </c>
      <c r="N11" s="199">
        <f>IF(D11=0," ",(J11*C11))</f>
        <v>0</v>
      </c>
    </row>
    <row r="12" spans="1:17" s="38" customFormat="1" ht="18.5" x14ac:dyDescent="0.45">
      <c r="A12" s="75" t="str">
        <f>IF(F12&lt;&gt;"",(LARGE(A$7:A11,1)+1),"")</f>
        <v/>
      </c>
      <c r="C12" s="144"/>
      <c r="D12" s="51"/>
      <c r="E12" s="48"/>
      <c r="F12" s="199"/>
      <c r="G12" s="59"/>
      <c r="H12" s="48"/>
      <c r="I12" s="48"/>
      <c r="J12" s="199"/>
      <c r="K12" s="48"/>
      <c r="L12" s="48"/>
      <c r="M12" s="48"/>
      <c r="N12" s="199"/>
    </row>
    <row r="13" spans="1:17" s="21" customFormat="1" ht="18.5" x14ac:dyDescent="0.45">
      <c r="A13" s="75">
        <f>IF(F13&lt;&gt;"",(LARGE(A$7:A12,1)+1),"")</f>
        <v>2</v>
      </c>
      <c r="B13" s="150" t="s">
        <v>38</v>
      </c>
      <c r="C13" s="144">
        <f>C11-46.03-0.15*153.44*2</f>
        <v>353.91800000000006</v>
      </c>
      <c r="D13" s="51" t="s">
        <v>37</v>
      </c>
      <c r="E13" s="48">
        <f>G13+H13+J13+I13</f>
        <v>39.674999999999997</v>
      </c>
      <c r="F13" s="199">
        <f>E13*C13</f>
        <v>14041.696650000002</v>
      </c>
      <c r="G13" s="59">
        <v>34.5</v>
      </c>
      <c r="H13" s="48"/>
      <c r="I13" s="48">
        <f>IF(D13=0," ",(G13)*(Details!$C$4+Details!$C$8))</f>
        <v>5.1750000000000007</v>
      </c>
      <c r="J13" s="199">
        <f>IF(D13=0," ",(H13)*(Details!$C$6+Details!$C$8))</f>
        <v>0</v>
      </c>
      <c r="K13" s="59">
        <f>+G13*C13</f>
        <v>12210.171000000002</v>
      </c>
      <c r="L13" s="48">
        <f>+H13*C13</f>
        <v>0</v>
      </c>
      <c r="M13" s="48">
        <f>IF(D13=0," ",(I13*C13))</f>
        <v>1831.5256500000005</v>
      </c>
      <c r="N13" s="199">
        <f>IF(D13=0," ",(J13*C13))</f>
        <v>0</v>
      </c>
    </row>
    <row r="14" spans="1:17" s="38" customFormat="1" ht="18.5" x14ac:dyDescent="0.45">
      <c r="A14" s="75" t="str">
        <f>IF(F14&lt;&gt;"",(LARGE(A$7:A13,1)+1),"")</f>
        <v/>
      </c>
      <c r="C14" s="144"/>
      <c r="D14" s="51"/>
      <c r="E14" s="48"/>
      <c r="F14" s="199"/>
      <c r="G14" s="59"/>
      <c r="H14" s="48"/>
      <c r="I14" s="48"/>
      <c r="J14" s="199"/>
      <c r="K14" s="48"/>
      <c r="L14" s="48"/>
      <c r="M14" s="48"/>
      <c r="N14" s="199" t="str">
        <f t="shared" si="0"/>
        <v xml:space="preserve"> </v>
      </c>
    </row>
    <row r="15" spans="1:17" s="38" customFormat="1" ht="18.5" x14ac:dyDescent="0.45">
      <c r="A15" s="75" t="str">
        <f>IF(F15&lt;&gt;"",(LARGE(A$7:A14,1)+1),"")</f>
        <v/>
      </c>
      <c r="B15" s="159" t="s">
        <v>196</v>
      </c>
      <c r="C15" s="144"/>
      <c r="D15" s="51"/>
      <c r="E15" s="48"/>
      <c r="F15" s="199"/>
      <c r="G15" s="59"/>
      <c r="H15" s="48"/>
      <c r="I15" s="48"/>
      <c r="J15" s="199"/>
      <c r="K15" s="48"/>
      <c r="L15" s="48"/>
      <c r="M15" s="48"/>
      <c r="N15" s="199"/>
      <c r="O15" s="265"/>
      <c r="P15" s="51"/>
      <c r="Q15" s="51"/>
    </row>
    <row r="16" spans="1:17" s="38" customFormat="1" ht="18.5" x14ac:dyDescent="0.45">
      <c r="A16" s="75" t="str">
        <f>IF(F16&lt;&gt;"",(LARGE(A$7:A15,1)+1),"")</f>
        <v/>
      </c>
      <c r="C16" s="144"/>
      <c r="D16" s="51"/>
      <c r="E16" s="48"/>
      <c r="F16" s="199"/>
      <c r="G16" s="59"/>
      <c r="H16" s="48"/>
      <c r="I16" s="48"/>
      <c r="J16" s="199"/>
      <c r="K16" s="48"/>
      <c r="L16" s="48"/>
      <c r="M16" s="48"/>
      <c r="N16" s="199"/>
      <c r="O16" s="265"/>
      <c r="P16" s="51"/>
      <c r="Q16" s="51"/>
    </row>
    <row r="17" spans="1:17" s="38" customFormat="1" ht="18.5" x14ac:dyDescent="0.45">
      <c r="A17" s="75">
        <f>IF(F17&lt;&gt;"",(LARGE(A$7:A16,1)+1),"")</f>
        <v>3</v>
      </c>
      <c r="B17" s="151" t="s">
        <v>208</v>
      </c>
      <c r="C17" s="144">
        <f>1.8*1.8*0.3*8</f>
        <v>7.7759999999999998</v>
      </c>
      <c r="D17" s="51" t="s">
        <v>37</v>
      </c>
      <c r="E17" s="48">
        <f>G17+H17+J17+I17</f>
        <v>480.99612500000001</v>
      </c>
      <c r="F17" s="199">
        <f>E17*C17</f>
        <v>3740.225868</v>
      </c>
      <c r="G17" s="59">
        <v>132.75749999999999</v>
      </c>
      <c r="H17" s="48">
        <v>285.5</v>
      </c>
      <c r="I17" s="48">
        <f>IF(D17=0," ",(G17)*(Details!$C$4+Details!$C$8))</f>
        <v>19.913625000000003</v>
      </c>
      <c r="J17" s="199">
        <f>IF(D17=0," ",(H17)*(Details!$C$6+Details!$C$8))</f>
        <v>42.825000000000003</v>
      </c>
      <c r="K17" s="59">
        <f>+G17*C17</f>
        <v>1032.32232</v>
      </c>
      <c r="L17" s="48">
        <f>+H17*C17</f>
        <v>2220.0479999999998</v>
      </c>
      <c r="M17" s="48">
        <f>IF(D17=0," ",(I17*C17))</f>
        <v>154.84834800000002</v>
      </c>
      <c r="N17" s="199">
        <f>IF(D17=0," ",(J17*C17))</f>
        <v>333.00720000000001</v>
      </c>
      <c r="O17" s="265"/>
      <c r="P17" s="51"/>
      <c r="Q17" s="51"/>
    </row>
    <row r="18" spans="1:17" s="38" customFormat="1" ht="18.5" x14ac:dyDescent="0.45">
      <c r="A18" s="75" t="str">
        <f>IF(F18&lt;&gt;"",(LARGE(A$7:A17,1)+1),"")</f>
        <v/>
      </c>
      <c r="B18" s="151"/>
      <c r="C18" s="144"/>
      <c r="D18" s="51"/>
      <c r="E18" s="48"/>
      <c r="F18" s="199"/>
      <c r="G18" s="59"/>
      <c r="H18" s="48"/>
      <c r="I18" s="48"/>
      <c r="J18" s="199"/>
      <c r="K18" s="48"/>
      <c r="L18" s="48"/>
      <c r="M18" s="48"/>
      <c r="N18" s="199"/>
      <c r="O18" s="265"/>
      <c r="P18" s="51"/>
      <c r="Q18" s="51"/>
    </row>
    <row r="19" spans="1:17" s="38" customFormat="1" ht="18.5" x14ac:dyDescent="0.45">
      <c r="A19" s="75">
        <f>IF(F19&lt;&gt;"",(LARGE(A$7:A18,1)+1),"")</f>
        <v>4</v>
      </c>
      <c r="B19" s="151" t="s">
        <v>194</v>
      </c>
      <c r="C19" s="144">
        <f>1.8*4*0.3*8</f>
        <v>17.28</v>
      </c>
      <c r="D19" s="51" t="s">
        <v>10</v>
      </c>
      <c r="E19" s="48">
        <f>G19+H19+J19+I19</f>
        <v>37.906874999999999</v>
      </c>
      <c r="F19" s="199">
        <f>E19*C19</f>
        <v>655.0308</v>
      </c>
      <c r="G19" s="59">
        <v>10.4625</v>
      </c>
      <c r="H19" s="48">
        <v>22.5</v>
      </c>
      <c r="I19" s="48">
        <f>IF(D19=0," ",(G19)*(Details!$C$4+Details!$C$8))</f>
        <v>1.5693750000000002</v>
      </c>
      <c r="J19" s="199">
        <f>IF(D19=0," ",(H19)*(Details!$C$6+Details!$C$8))</f>
        <v>3.3750000000000004</v>
      </c>
      <c r="K19" s="59">
        <f>+G19*C19</f>
        <v>180.79200000000003</v>
      </c>
      <c r="L19" s="48">
        <f>+H19*C19</f>
        <v>388.8</v>
      </c>
      <c r="M19" s="48">
        <f>IF(D19=0," ",(I19*C19))</f>
        <v>27.118800000000004</v>
      </c>
      <c r="N19" s="199">
        <f>IF(D19=0," ",(J19*C19))</f>
        <v>58.320000000000014</v>
      </c>
      <c r="O19" s="265"/>
      <c r="P19" s="51"/>
      <c r="Q19" s="51"/>
    </row>
    <row r="20" spans="1:17" s="38" customFormat="1" ht="18.5" x14ac:dyDescent="0.45">
      <c r="A20" s="75" t="str">
        <f>IF(F20&lt;&gt;"",(LARGE(A$7:A19,1)+1),"")</f>
        <v/>
      </c>
      <c r="B20" s="151"/>
      <c r="C20" s="144"/>
      <c r="D20" s="51"/>
      <c r="E20" s="48"/>
      <c r="F20" s="199"/>
      <c r="G20" s="59"/>
      <c r="H20" s="48"/>
      <c r="I20" s="48"/>
      <c r="J20" s="199"/>
      <c r="K20" s="48"/>
      <c r="L20" s="48"/>
      <c r="M20" s="48"/>
      <c r="N20" s="199"/>
      <c r="O20" s="265"/>
      <c r="P20" s="51"/>
      <c r="Q20" s="51"/>
    </row>
    <row r="21" spans="1:17" s="38" customFormat="1" ht="55.5" x14ac:dyDescent="0.45">
      <c r="A21" s="75">
        <f>IF(F21&lt;&gt;"",(LARGE(A$7:A20,1)+1),"")</f>
        <v>5</v>
      </c>
      <c r="B21" s="151" t="s">
        <v>204</v>
      </c>
      <c r="C21" s="144">
        <v>46.032599999999995</v>
      </c>
      <c r="D21" s="51" t="s">
        <v>37</v>
      </c>
      <c r="E21" s="48">
        <f>G21+H21+J21+I21</f>
        <v>480.99612500000001</v>
      </c>
      <c r="F21" s="199">
        <f>E21*C21</f>
        <v>22141.502223674997</v>
      </c>
      <c r="G21" s="59">
        <v>132.75749999999999</v>
      </c>
      <c r="H21" s="48">
        <v>285.5</v>
      </c>
      <c r="I21" s="48">
        <f>IF(D21=0," ",(G21)*(Details!$C$4+Details!$C$8))</f>
        <v>19.913625000000003</v>
      </c>
      <c r="J21" s="199">
        <f>IF(D21=0," ",(H21)*(Details!$C$6+Details!$C$8))</f>
        <v>42.825000000000003</v>
      </c>
      <c r="K21" s="59">
        <f>+G21*C21</f>
        <v>6111.1728944999986</v>
      </c>
      <c r="L21" s="48">
        <f>+H21*C21</f>
        <v>13142.307299999999</v>
      </c>
      <c r="M21" s="48">
        <f>IF(D21=0," ",(I21*C21))</f>
        <v>916.67593417500007</v>
      </c>
      <c r="N21" s="199">
        <f>IF(D21=0," ",(J21*C21))</f>
        <v>1971.3460949999999</v>
      </c>
      <c r="O21" s="265"/>
      <c r="P21" s="51"/>
      <c r="Q21" s="51"/>
    </row>
    <row r="22" spans="1:17" s="38" customFormat="1" ht="18.5" x14ac:dyDescent="0.45">
      <c r="A22" s="75" t="str">
        <f>IF(F22&lt;&gt;"",(LARGE(A$7:A21,1)+1),"")</f>
        <v/>
      </c>
      <c r="B22" s="151"/>
      <c r="C22" s="144"/>
      <c r="D22" s="51"/>
      <c r="E22" s="48"/>
      <c r="F22" s="199"/>
      <c r="G22" s="59"/>
      <c r="H22" s="48"/>
      <c r="I22" s="48"/>
      <c r="J22" s="199"/>
      <c r="K22" s="48"/>
      <c r="L22" s="48"/>
      <c r="M22" s="48"/>
      <c r="N22" s="199"/>
      <c r="O22" s="265"/>
      <c r="P22" s="51"/>
      <c r="Q22" s="51"/>
    </row>
    <row r="23" spans="1:17" s="38" customFormat="1" ht="18.5" x14ac:dyDescent="0.45">
      <c r="A23" s="75">
        <f>IF(F23&lt;&gt;"",(LARGE(A$7:A22,1)+1),"")</f>
        <v>6</v>
      </c>
      <c r="B23" s="151" t="s">
        <v>205</v>
      </c>
      <c r="C23" s="144">
        <v>153.44200000000001</v>
      </c>
      <c r="D23" s="51" t="s">
        <v>10</v>
      </c>
      <c r="E23" s="48">
        <f>G23+H23+J23+I23</f>
        <v>22.744125000000004</v>
      </c>
      <c r="F23" s="199">
        <f>E23*C23</f>
        <v>3489.9040282500009</v>
      </c>
      <c r="G23" s="59">
        <v>6.2775000000000007</v>
      </c>
      <c r="H23" s="48">
        <v>13.5</v>
      </c>
      <c r="I23" s="48">
        <f>IF(D23=0," ",(G23)*(Details!$C$4+Details!$C$8))</f>
        <v>0.94162500000000027</v>
      </c>
      <c r="J23" s="199">
        <f>IF(D23=0," ",(H23)*(Details!$C$6+Details!$C$8))</f>
        <v>2.0250000000000004</v>
      </c>
      <c r="K23" s="59">
        <f>+G23*C23</f>
        <v>963.23215500000015</v>
      </c>
      <c r="L23" s="48">
        <f>+H23*C23</f>
        <v>2071.4670000000001</v>
      </c>
      <c r="M23" s="48">
        <f>IF(D23=0," ",(I23*C23))</f>
        <v>144.48482325000006</v>
      </c>
      <c r="N23" s="199">
        <f>IF(D23=0," ",(J23*C23))</f>
        <v>310.72005000000007</v>
      </c>
      <c r="O23" s="265"/>
      <c r="P23" s="51"/>
      <c r="Q23" s="51"/>
    </row>
    <row r="24" spans="1:17" s="38" customFormat="1" ht="18.5" x14ac:dyDescent="0.45">
      <c r="A24" s="75" t="str">
        <f>IF(F24&lt;&gt;"",(LARGE(A$7:A23,1)+1),"")</f>
        <v/>
      </c>
      <c r="B24" s="151"/>
      <c r="C24" s="144"/>
      <c r="D24" s="51"/>
      <c r="E24" s="48"/>
      <c r="F24" s="199"/>
      <c r="G24" s="59"/>
      <c r="H24" s="48"/>
      <c r="I24" s="48"/>
      <c r="J24" s="199"/>
      <c r="K24" s="48"/>
      <c r="L24" s="48"/>
      <c r="M24" s="48"/>
      <c r="N24" s="199"/>
      <c r="O24" s="265"/>
      <c r="P24" s="51"/>
      <c r="Q24" s="51"/>
    </row>
    <row r="25" spans="1:17" s="38" customFormat="1" ht="18.5" x14ac:dyDescent="0.45">
      <c r="A25" s="75">
        <f>IF(F25&lt;&gt;"",(LARGE(A$7:A24,1)+1),"")</f>
        <v>7</v>
      </c>
      <c r="B25" s="151" t="s">
        <v>206</v>
      </c>
      <c r="C25" s="144">
        <v>153.44200000000001</v>
      </c>
      <c r="D25" s="51" t="s">
        <v>10</v>
      </c>
      <c r="E25" s="48">
        <f>G25+H25+J25+I25</f>
        <v>53.069625000000002</v>
      </c>
      <c r="F25" s="199">
        <f>E25*C25</f>
        <v>8143.1093992500009</v>
      </c>
      <c r="G25" s="59">
        <v>14.647500000000001</v>
      </c>
      <c r="H25" s="48">
        <v>31.5</v>
      </c>
      <c r="I25" s="48">
        <f>IF(D25=0," ",(G25)*(Details!$C$4+Details!$C$8))</f>
        <v>2.1971250000000007</v>
      </c>
      <c r="J25" s="199">
        <f>IF(D25=0," ",(H25)*(Details!$C$6+Details!$C$8))</f>
        <v>4.7250000000000005</v>
      </c>
      <c r="K25" s="59">
        <f>+G25*C25</f>
        <v>2247.5416950000003</v>
      </c>
      <c r="L25" s="48">
        <f>+H25*C25</f>
        <v>4833.4230000000007</v>
      </c>
      <c r="M25" s="48">
        <f>IF(D25=0," ",(I25*C25))</f>
        <v>337.1312542500001</v>
      </c>
      <c r="N25" s="199">
        <f>IF(D25=0," ",(J25*C25))</f>
        <v>725.01345000000015</v>
      </c>
      <c r="O25" s="265"/>
      <c r="P25" s="51"/>
      <c r="Q25" s="51"/>
    </row>
    <row r="26" spans="1:17" s="38" customFormat="1" ht="18.5" x14ac:dyDescent="0.45">
      <c r="A26" s="75" t="str">
        <f>IF(F26&lt;&gt;"",(LARGE(A$7:A25,1)+1),"")</f>
        <v/>
      </c>
      <c r="B26" s="151"/>
      <c r="C26" s="144"/>
      <c r="D26" s="51"/>
      <c r="E26" s="48"/>
      <c r="F26" s="199"/>
      <c r="G26" s="59"/>
      <c r="H26" s="48"/>
      <c r="I26" s="48"/>
      <c r="J26" s="199"/>
      <c r="K26" s="48"/>
      <c r="L26" s="48"/>
      <c r="M26" s="48"/>
      <c r="N26" s="199"/>
      <c r="O26" s="265"/>
      <c r="P26" s="51"/>
      <c r="Q26" s="51"/>
    </row>
    <row r="27" spans="1:17" s="38" customFormat="1" ht="18.5" x14ac:dyDescent="0.45">
      <c r="A27" s="75">
        <f>IF(F27&lt;&gt;"",(LARGE(A$7:A26,1)+1),"")</f>
        <v>8</v>
      </c>
      <c r="B27" s="151" t="s">
        <v>207</v>
      </c>
      <c r="C27" s="144">
        <v>153.44200000000001</v>
      </c>
      <c r="D27" s="51" t="s">
        <v>10</v>
      </c>
      <c r="E27" s="48">
        <f>G27+H27+J27+I27</f>
        <v>716.01874999999995</v>
      </c>
      <c r="F27" s="199">
        <f>E27*C27</f>
        <v>109867.3490375</v>
      </c>
      <c r="G27" s="59">
        <v>197.625</v>
      </c>
      <c r="H27" s="48">
        <v>425</v>
      </c>
      <c r="I27" s="48">
        <f>IF(D27=0," ",(G27)*(Details!$C$4+Details!$C$8))</f>
        <v>29.643750000000004</v>
      </c>
      <c r="J27" s="199">
        <f>IF(D27=0," ",(H27)*(Details!$C$6+Details!$C$8))</f>
        <v>63.750000000000007</v>
      </c>
      <c r="K27" s="59">
        <f>+G27*C27</f>
        <v>30323.975250000003</v>
      </c>
      <c r="L27" s="48">
        <f>+H27*C27</f>
        <v>65212.850000000006</v>
      </c>
      <c r="M27" s="48">
        <f>IF(D27=0," ",(I27*C27))</f>
        <v>4548.5962875000005</v>
      </c>
      <c r="N27" s="199">
        <f>IF(D27=0," ",(J27*C27))</f>
        <v>9781.9275000000016</v>
      </c>
      <c r="O27" s="265"/>
      <c r="P27" s="51"/>
      <c r="Q27" s="51"/>
    </row>
    <row r="28" spans="1:17" s="38" customFormat="1" ht="18.5" x14ac:dyDescent="0.45">
      <c r="A28" s="75" t="str">
        <f>IF(F28&lt;&gt;"",(LARGE(A$7:A27,1)+1),"")</f>
        <v/>
      </c>
      <c r="B28" s="151"/>
      <c r="C28" s="144"/>
      <c r="D28" s="51"/>
      <c r="E28" s="48"/>
      <c r="F28" s="199"/>
      <c r="G28" s="59"/>
      <c r="H28" s="48"/>
      <c r="I28" s="48"/>
      <c r="J28" s="199"/>
      <c r="K28" s="48"/>
      <c r="L28" s="48"/>
      <c r="M28" s="48"/>
      <c r="N28" s="199"/>
      <c r="O28" s="265"/>
      <c r="P28" s="51"/>
      <c r="Q28" s="51"/>
    </row>
    <row r="29" spans="1:17" s="38" customFormat="1" ht="18.5" x14ac:dyDescent="0.45">
      <c r="A29" s="75">
        <f>IF(F29&lt;&gt;"",(LARGE(A$7:A28,1)+1),"")</f>
        <v>9</v>
      </c>
      <c r="B29" s="151" t="s">
        <v>194</v>
      </c>
      <c r="C29" s="144">
        <v>153.44200000000001</v>
      </c>
      <c r="D29" s="51" t="s">
        <v>10</v>
      </c>
      <c r="E29" s="48">
        <f>G29+H29+J29+I29</f>
        <v>37.906874999999999</v>
      </c>
      <c r="F29" s="199">
        <f>E29*C29</f>
        <v>5816.50671375</v>
      </c>
      <c r="G29" s="59">
        <v>10.4625</v>
      </c>
      <c r="H29" s="48">
        <v>22.5</v>
      </c>
      <c r="I29" s="48">
        <f>IF(D29=0," ",(G29)*(Details!$C$4+Details!$C$8))</f>
        <v>1.5693750000000002</v>
      </c>
      <c r="J29" s="199">
        <f>IF(D29=0," ",(H29)*(Details!$C$6+Details!$C$8))</f>
        <v>3.3750000000000004</v>
      </c>
      <c r="K29" s="59">
        <f>+G29*C29</f>
        <v>1605.386925</v>
      </c>
      <c r="L29" s="48">
        <f>+H29*C29</f>
        <v>3452.4450000000002</v>
      </c>
      <c r="M29" s="48">
        <f>IF(D29=0," ",(I29*C29))</f>
        <v>240.80803875000004</v>
      </c>
      <c r="N29" s="199">
        <f>IF(D29=0," ",(J29*C29))</f>
        <v>517.86675000000014</v>
      </c>
      <c r="O29" s="265"/>
      <c r="P29" s="51"/>
      <c r="Q29" s="51"/>
    </row>
    <row r="30" spans="1:17" s="38" customFormat="1" ht="18.5" x14ac:dyDescent="0.45">
      <c r="A30" s="75" t="str">
        <f>IF(F30&lt;&gt;"",(LARGE(A$7:A29,1)+1),"")</f>
        <v/>
      </c>
      <c r="B30" s="151"/>
      <c r="C30" s="144"/>
      <c r="D30" s="51"/>
      <c r="E30" s="48"/>
      <c r="F30" s="199"/>
      <c r="G30" s="59"/>
      <c r="H30" s="48"/>
      <c r="I30" s="48"/>
      <c r="J30" s="199"/>
      <c r="K30" s="48"/>
      <c r="L30" s="48"/>
      <c r="M30" s="48"/>
      <c r="N30" s="199"/>
      <c r="O30" s="265"/>
      <c r="P30" s="51"/>
      <c r="Q30" s="51"/>
    </row>
    <row r="31" spans="1:17" s="38" customFormat="1" ht="18.5" x14ac:dyDescent="0.45">
      <c r="A31" s="75" t="str">
        <f>IF(F31&lt;&gt;"",(LARGE(A$7:A30,1)+1),"")</f>
        <v/>
      </c>
      <c r="B31" s="159" t="s">
        <v>209</v>
      </c>
      <c r="C31" s="144"/>
      <c r="D31" s="51"/>
      <c r="E31" s="48"/>
      <c r="F31" s="199"/>
      <c r="G31" s="59"/>
      <c r="H31" s="48"/>
      <c r="I31" s="48" t="str">
        <f>IF(D31=0," ",(G31)*(Details!$C$4+Details!$C$8))</f>
        <v xml:space="preserve"> </v>
      </c>
      <c r="J31" s="199" t="str">
        <f>IF(D31=0," ",(H31)*(Details!$C$6+Details!$C$8))</f>
        <v xml:space="preserve"> </v>
      </c>
      <c r="K31" s="81"/>
      <c r="L31" s="81"/>
      <c r="M31" s="81"/>
      <c r="N31" s="199" t="str">
        <f t="shared" si="0"/>
        <v xml:space="preserve"> </v>
      </c>
      <c r="O31" s="81"/>
    </row>
    <row r="32" spans="1:17" s="38" customFormat="1" ht="18.5" x14ac:dyDescent="0.45">
      <c r="A32" s="75" t="str">
        <f>IF(F32&lt;&gt;"",(LARGE(A$7:A31,1)+1),"")</f>
        <v/>
      </c>
      <c r="C32" s="144"/>
      <c r="D32" s="51"/>
      <c r="E32" s="48"/>
      <c r="F32" s="199"/>
      <c r="G32" s="59"/>
      <c r="H32" s="48"/>
      <c r="I32" s="48"/>
      <c r="J32" s="199"/>
      <c r="K32" s="81"/>
      <c r="L32" s="81"/>
      <c r="M32" s="81"/>
      <c r="N32" s="199" t="str">
        <f t="shared" si="0"/>
        <v xml:space="preserve"> </v>
      </c>
      <c r="O32" s="81"/>
    </row>
    <row r="33" spans="1:16" s="38" customFormat="1" ht="55.5" x14ac:dyDescent="0.45">
      <c r="A33" s="75">
        <f>IF(F33&lt;&gt;"",(LARGE(A$7:A32,1)+1),"")</f>
        <v>10</v>
      </c>
      <c r="B33" s="151" t="s">
        <v>210</v>
      </c>
      <c r="C33" s="144">
        <v>46.100999999999992</v>
      </c>
      <c r="D33" s="51" t="s">
        <v>10</v>
      </c>
      <c r="E33" s="48">
        <f>G33+H33+J33+I33</f>
        <v>61.493375</v>
      </c>
      <c r="F33" s="199">
        <f>E33*C33</f>
        <v>2834.9060808749996</v>
      </c>
      <c r="G33" s="59">
        <v>16.9725</v>
      </c>
      <c r="H33" s="48">
        <v>36.5</v>
      </c>
      <c r="I33" s="48">
        <f>IF(D33=0," ",(G33)*(Details!$C$4+Details!$C$8))</f>
        <v>2.5458750000000006</v>
      </c>
      <c r="J33" s="199">
        <f>IF(D33=0," ",(H33)*(Details!$C$6+Details!$C$8))</f>
        <v>5.4750000000000005</v>
      </c>
      <c r="K33" s="59">
        <f>+G33*C33</f>
        <v>782.44922249999991</v>
      </c>
      <c r="L33" s="48">
        <f>+H33*C33</f>
        <v>1682.6864999999998</v>
      </c>
      <c r="M33" s="48">
        <f>IF(D33=0," ",(I33*C33))</f>
        <v>117.367383375</v>
      </c>
      <c r="N33" s="199">
        <f>IF(D33=0," ",(J33*C33))</f>
        <v>252.40297499999997</v>
      </c>
      <c r="O33" s="81"/>
    </row>
    <row r="34" spans="1:16" s="38" customFormat="1" ht="18.5" x14ac:dyDescent="0.45">
      <c r="A34" s="75" t="str">
        <f>IF(F34&lt;&gt;"",(LARGE(A$7:A33,1)+1),"")</f>
        <v/>
      </c>
      <c r="B34" s="151"/>
      <c r="C34" s="144"/>
      <c r="D34" s="60"/>
      <c r="E34" s="48"/>
      <c r="F34" s="199"/>
      <c r="G34" s="59"/>
      <c r="H34" s="48"/>
      <c r="I34" s="48"/>
      <c r="J34" s="199"/>
      <c r="K34" s="48"/>
      <c r="L34" s="48"/>
      <c r="M34" s="48"/>
      <c r="N34" s="199" t="str">
        <f t="shared" si="0"/>
        <v xml:space="preserve"> </v>
      </c>
    </row>
    <row r="35" spans="1:16" s="38" customFormat="1" ht="18.5" x14ac:dyDescent="0.45">
      <c r="A35" s="75">
        <f>IF(F35&lt;&gt;"",(LARGE(A$7:A34,1)+1),"")</f>
        <v>11</v>
      </c>
      <c r="B35" s="151" t="s">
        <v>211</v>
      </c>
      <c r="C35" s="144">
        <v>154</v>
      </c>
      <c r="D35" s="51" t="s">
        <v>10</v>
      </c>
      <c r="E35" s="48">
        <f>G35+H35+J35+I35</f>
        <v>24.428875000000001</v>
      </c>
      <c r="F35" s="199">
        <f>E35*C35</f>
        <v>3762.0467500000004</v>
      </c>
      <c r="G35" s="59">
        <v>6.7425000000000006</v>
      </c>
      <c r="H35" s="48">
        <v>14.5</v>
      </c>
      <c r="I35" s="48">
        <f>IF(D35=0," ",(G35)*(Details!$C$4+Details!$C$8))</f>
        <v>1.0113750000000001</v>
      </c>
      <c r="J35" s="199">
        <f>IF(D35=0," ",(H35)*(Details!$C$6+Details!$C$8))</f>
        <v>2.1750000000000003</v>
      </c>
      <c r="K35" s="59">
        <f>+G35*C35</f>
        <v>1038.345</v>
      </c>
      <c r="L35" s="48">
        <f>+H35*C35</f>
        <v>2233</v>
      </c>
      <c r="M35" s="48">
        <f>IF(D35=0," ",(I35*C35))</f>
        <v>155.75175000000002</v>
      </c>
      <c r="N35" s="199">
        <f>IF(D35=0," ",(J35*C35))</f>
        <v>334.95000000000005</v>
      </c>
    </row>
    <row r="36" spans="1:16" s="21" customFormat="1" ht="18.5" x14ac:dyDescent="0.45">
      <c r="A36" s="75" t="str">
        <f>IF(F36&lt;&gt;"",(LARGE(A$7:A35,1)+1),"")</f>
        <v/>
      </c>
      <c r="B36" s="151"/>
      <c r="C36" s="144"/>
      <c r="D36" s="51"/>
      <c r="E36" s="48"/>
      <c r="F36" s="199"/>
      <c r="G36" s="59"/>
      <c r="H36" s="48"/>
      <c r="I36" s="48"/>
      <c r="J36" s="199"/>
      <c r="K36" s="20"/>
      <c r="L36" s="20"/>
      <c r="M36" s="20"/>
      <c r="N36" s="199"/>
      <c r="P36" s="72" t="s">
        <v>125</v>
      </c>
    </row>
    <row r="37" spans="1:16" s="21" customFormat="1" ht="19" thickBot="1" x14ac:dyDescent="0.5">
      <c r="A37" s="75"/>
      <c r="B37" s="160"/>
      <c r="C37" s="144"/>
      <c r="D37" s="60"/>
      <c r="E37" s="62" t="s">
        <v>97</v>
      </c>
      <c r="F37" s="200">
        <f>SUM(F8:F36)</f>
        <v>196289.5500513</v>
      </c>
      <c r="G37" s="59"/>
      <c r="H37" s="48"/>
      <c r="I37" s="48"/>
      <c r="J37" s="199"/>
      <c r="K37" s="200">
        <f>SUM(K8:K36)</f>
        <v>75449.538461999997</v>
      </c>
      <c r="L37" s="200">
        <f>SUM(L8:L36)</f>
        <v>95237.026800000007</v>
      </c>
      <c r="M37" s="200">
        <f>SUM(M8:M36)</f>
        <v>11317.430769300001</v>
      </c>
      <c r="N37" s="200">
        <f>SUM(N8:N36)</f>
        <v>14285.554020000003</v>
      </c>
      <c r="P37" s="72">
        <f>+F37-K37-L37-N37-M37</f>
        <v>0</v>
      </c>
    </row>
    <row r="38" spans="1:16" s="21" customFormat="1" ht="19.5" thickTop="1" thickBot="1" x14ac:dyDescent="0.5">
      <c r="A38" s="161" t="str">
        <f>IF(F38&lt;&gt;"",(LARGE(A$7:A37,1)+1),"")</f>
        <v/>
      </c>
      <c r="B38" s="162"/>
      <c r="C38" s="157"/>
      <c r="D38" s="63"/>
      <c r="E38" s="65"/>
      <c r="F38" s="201"/>
      <c r="G38" s="66"/>
      <c r="H38" s="65"/>
      <c r="I38" s="65"/>
      <c r="J38" s="67"/>
      <c r="K38" s="56"/>
      <c r="L38" s="56"/>
      <c r="M38" s="56"/>
      <c r="N38" s="185"/>
      <c r="P38" s="55"/>
    </row>
  </sheetData>
  <mergeCells count="2">
    <mergeCell ref="G5:J5"/>
    <mergeCell ref="K5:N5"/>
  </mergeCells>
  <conditionalFormatting sqref="G8:G10533">
    <cfRule type="notContainsBlanks" dxfId="114" priority="6">
      <formula>LEN(TRIM(G8))&gt;0</formula>
    </cfRule>
  </conditionalFormatting>
  <conditionalFormatting sqref="H9:H14 H31:H35 H36:I10533">
    <cfRule type="notContainsBlanks" dxfId="113" priority="157">
      <formula>LEN(TRIM(H9))&gt;0</formula>
    </cfRule>
  </conditionalFormatting>
  <conditionalFormatting sqref="H17">
    <cfRule type="notContainsBlanks" dxfId="112" priority="105">
      <formula>LEN(TRIM(H17))&gt;0</formula>
    </cfRule>
  </conditionalFormatting>
  <conditionalFormatting sqref="H19">
    <cfRule type="notContainsBlanks" dxfId="111" priority="103">
      <formula>LEN(TRIM(H19))&gt;0</formula>
    </cfRule>
  </conditionalFormatting>
  <conditionalFormatting sqref="H21">
    <cfRule type="notContainsBlanks" dxfId="110" priority="5">
      <formula>LEN(TRIM(H21))&gt;0</formula>
    </cfRule>
  </conditionalFormatting>
  <conditionalFormatting sqref="H23">
    <cfRule type="notContainsBlanks" dxfId="109" priority="3">
      <formula>LEN(TRIM(H23))&gt;0</formula>
    </cfRule>
  </conditionalFormatting>
  <conditionalFormatting sqref="H25">
    <cfRule type="notContainsBlanks" dxfId="108" priority="1">
      <formula>LEN(TRIM(H25))&gt;0</formula>
    </cfRule>
  </conditionalFormatting>
  <conditionalFormatting sqref="H27">
    <cfRule type="notContainsBlanks" dxfId="107" priority="101">
      <formula>LEN(TRIM(H27))&gt;0</formula>
    </cfRule>
  </conditionalFormatting>
  <conditionalFormatting sqref="H29">
    <cfRule type="notContainsBlanks" dxfId="106" priority="99">
      <formula>LEN(TRIM(H29))&gt;0</formula>
    </cfRule>
  </conditionalFormatting>
  <conditionalFormatting sqref="H8:I8 I10 I12 I14 I32 I34">
    <cfRule type="notContainsBlanks" dxfId="105" priority="177">
      <formula>LEN(TRIM(H8))&gt;0</formula>
    </cfRule>
  </conditionalFormatting>
  <conditionalFormatting sqref="H15:I16 H18:I18 H20:I20 H26:I26 H28:I28 H30:I30">
    <cfRule type="notContainsBlanks" dxfId="104" priority="164">
      <formula>LEN(TRIM(H15))&gt;0</formula>
    </cfRule>
  </conditionalFormatting>
  <conditionalFormatting sqref="H22:I22">
    <cfRule type="notContainsBlanks" dxfId="103" priority="4">
      <formula>LEN(TRIM(H22))&gt;0</formula>
    </cfRule>
  </conditionalFormatting>
  <conditionalFormatting sqref="H24:I24">
    <cfRule type="notContainsBlanks" dxfId="102" priority="2">
      <formula>LEN(TRIM(H24))&gt;0</formula>
    </cfRule>
  </conditionalFormatting>
  <conditionalFormatting sqref="P37">
    <cfRule type="cellIs" dxfId="101" priority="173" operator="equal">
      <formula>0</formula>
    </cfRule>
    <cfRule type="cellIs" dxfId="100" priority="174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Q54"/>
  <sheetViews>
    <sheetView topLeftCell="A19" zoomScale="70" zoomScaleNormal="70" workbookViewId="0">
      <selection activeCell="N54" sqref="N5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20" customWidth="1"/>
    <col min="15" max="15" width="10.453125" style="16" bestFit="1" customWidth="1"/>
    <col min="16" max="16384" width="9.08984375" style="16"/>
  </cols>
  <sheetData>
    <row r="1" spans="1:17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7" x14ac:dyDescent="0.35">
      <c r="A2" s="15"/>
      <c r="B2" s="3" t="str">
        <f>+'Qual, Excl &amp; Assum'!B2</f>
        <v>PROJECT NAME: SQUAIRRELS LEAP GUILDFORD ROAD, CHERTSEY KT16 9RU</v>
      </c>
      <c r="F2" s="35"/>
    </row>
    <row r="3" spans="1:17" x14ac:dyDescent="0.35">
      <c r="A3" s="15"/>
      <c r="B3" s="53" t="str">
        <f>+'Qual, Excl &amp; Assum'!B3</f>
        <v>DATE: 25TH NOVEMBER 2025</v>
      </c>
      <c r="F3" s="35"/>
    </row>
    <row r="4" spans="1:17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17" s="21" customFormat="1" ht="38.25" customHeight="1" thickBot="1" x14ac:dyDescent="0.4">
      <c r="A5" s="206"/>
      <c r="B5" s="207" t="s">
        <v>14</v>
      </c>
      <c r="C5" s="208"/>
      <c r="D5" s="209"/>
      <c r="E5" s="210"/>
      <c r="F5" s="216"/>
      <c r="G5" s="359" t="s">
        <v>121</v>
      </c>
      <c r="H5" s="360"/>
      <c r="I5" s="360"/>
      <c r="J5" s="361"/>
      <c r="K5" s="359" t="s">
        <v>122</v>
      </c>
      <c r="L5" s="360"/>
      <c r="M5" s="360"/>
      <c r="N5" s="361"/>
    </row>
    <row r="6" spans="1:17" s="21" customFormat="1" ht="18.5" x14ac:dyDescent="0.45">
      <c r="A6" s="49"/>
      <c r="B6" s="38"/>
      <c r="C6" s="144"/>
      <c r="D6" s="38"/>
      <c r="E6" s="64"/>
      <c r="F6" s="197"/>
      <c r="G6" s="251"/>
      <c r="H6" s="64"/>
      <c r="I6" s="64"/>
      <c r="J6" s="202"/>
      <c r="K6" s="214"/>
      <c r="L6" s="20"/>
      <c r="M6" s="20"/>
      <c r="N6" s="35"/>
    </row>
    <row r="7" spans="1:17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7" s="21" customFormat="1" ht="18.5" x14ac:dyDescent="0.45">
      <c r="A8" s="49"/>
      <c r="B8" s="158"/>
      <c r="C8" s="152"/>
      <c r="D8" s="51"/>
      <c r="E8" s="48"/>
      <c r="F8" s="199"/>
      <c r="G8" s="59"/>
      <c r="H8" s="48"/>
      <c r="I8" s="48"/>
      <c r="J8" s="199"/>
      <c r="K8" s="214"/>
      <c r="L8" s="20"/>
      <c r="M8" s="20"/>
      <c r="N8" s="199" t="str">
        <f t="shared" ref="N8:N15" si="0">IF(D8=0," ",(J8*C8))</f>
        <v xml:space="preserve"> </v>
      </c>
    </row>
    <row r="9" spans="1:17" s="21" customFormat="1" ht="18.5" x14ac:dyDescent="0.45">
      <c r="A9" s="49"/>
      <c r="B9" s="164" t="s">
        <v>212</v>
      </c>
      <c r="C9" s="147"/>
      <c r="D9" s="61"/>
      <c r="E9" s="62"/>
      <c r="F9" s="198"/>
      <c r="G9" s="59"/>
      <c r="H9" s="48"/>
      <c r="I9" s="48"/>
      <c r="J9" s="199"/>
      <c r="K9" s="214"/>
      <c r="L9" s="217"/>
      <c r="M9" s="217"/>
      <c r="N9" s="199" t="str">
        <f t="shared" si="0"/>
        <v xml:space="preserve"> </v>
      </c>
    </row>
    <row r="10" spans="1:17" s="21" customFormat="1" ht="18.5" x14ac:dyDescent="0.45">
      <c r="A10" s="49"/>
      <c r="B10" s="153"/>
      <c r="C10" s="147"/>
      <c r="D10" s="61"/>
      <c r="E10" s="62"/>
      <c r="F10" s="198"/>
      <c r="G10" s="59"/>
      <c r="H10" s="48"/>
      <c r="I10" s="48"/>
      <c r="J10" s="199"/>
      <c r="K10" s="214"/>
      <c r="L10" s="165"/>
      <c r="M10" s="165"/>
      <c r="N10" s="199" t="str">
        <f t="shared" si="0"/>
        <v xml:space="preserve"> </v>
      </c>
    </row>
    <row r="11" spans="1:17" s="21" customFormat="1" ht="18.5" x14ac:dyDescent="0.45">
      <c r="A11" s="49">
        <v>1</v>
      </c>
      <c r="B11" s="153" t="s">
        <v>213</v>
      </c>
      <c r="C11" s="144">
        <v>342.709</v>
      </c>
      <c r="D11" s="51" t="s">
        <v>10</v>
      </c>
      <c r="E11" s="48">
        <f>G11+H11+J11+I11</f>
        <v>54.754374999999996</v>
      </c>
      <c r="F11" s="199">
        <f>E11*C11</f>
        <v>18764.817101875</v>
      </c>
      <c r="G11" s="59">
        <v>15.112500000000001</v>
      </c>
      <c r="H11" s="48">
        <v>32.5</v>
      </c>
      <c r="I11" s="48">
        <f>IF(D11=0," ",(G11)*(Details!$C$4+Details!$C$8))</f>
        <v>2.2668750000000006</v>
      </c>
      <c r="J11" s="199">
        <f>IF(D11=0," ",(H11)*(Details!$C$6+Details!$C$8))</f>
        <v>4.8750000000000009</v>
      </c>
      <c r="K11" s="59">
        <f>+G11*C11</f>
        <v>5179.1897625000001</v>
      </c>
      <c r="L11" s="48">
        <f>+H11*C11</f>
        <v>11138.0425</v>
      </c>
      <c r="M11" s="48">
        <f>IF(D11=0," ",(I11*C11))</f>
        <v>776.87846437500025</v>
      </c>
      <c r="N11" s="199">
        <f t="shared" si="0"/>
        <v>1670.7063750000002</v>
      </c>
    </row>
    <row r="12" spans="1:17" s="21" customFormat="1" ht="18.5" x14ac:dyDescent="0.45">
      <c r="A12" s="49"/>
      <c r="B12" s="151"/>
      <c r="C12" s="144"/>
      <c r="D12" s="51"/>
      <c r="E12" s="48"/>
      <c r="F12" s="199"/>
      <c r="G12" s="59"/>
      <c r="H12" s="48"/>
      <c r="I12" s="48" t="str">
        <f>IF(D12=0," ",(G12)*(Details!$C$4+Details!$C$8))</f>
        <v xml:space="preserve"> </v>
      </c>
      <c r="J12" s="199" t="str">
        <f>IF(D12=0," ",(H12)*(Details!$C$6+Details!$C$8))</f>
        <v xml:space="preserve"> </v>
      </c>
      <c r="K12" s="15"/>
      <c r="L12" s="20"/>
      <c r="M12" s="20"/>
      <c r="N12" s="199" t="str">
        <f t="shared" si="0"/>
        <v xml:space="preserve"> </v>
      </c>
    </row>
    <row r="13" spans="1:17" s="38" customFormat="1" ht="18.5" x14ac:dyDescent="0.45">
      <c r="A13" s="75">
        <f>IF(F13&lt;&gt;"",(LARGE(A$4:A12,1)+1),"")</f>
        <v>2</v>
      </c>
      <c r="B13" s="151" t="s">
        <v>214</v>
      </c>
      <c r="C13" s="144">
        <v>342.709</v>
      </c>
      <c r="D13" s="51" t="s">
        <v>10</v>
      </c>
      <c r="E13" s="48">
        <f>G13+H13+J13+I13</f>
        <v>22.744125000000004</v>
      </c>
      <c r="F13" s="199">
        <f>E13*C13</f>
        <v>7794.6163346250014</v>
      </c>
      <c r="G13" s="59">
        <v>6.2775000000000007</v>
      </c>
      <c r="H13" s="48">
        <v>13.5</v>
      </c>
      <c r="I13" s="48">
        <f>IF(D13=0," ",(G13)*(Details!$C$4+Details!$C$8))</f>
        <v>0.94162500000000027</v>
      </c>
      <c r="J13" s="199">
        <f>IF(D13=0," ",(H13)*(Details!$C$6+Details!$C$8))</f>
        <v>2.0250000000000004</v>
      </c>
      <c r="K13" s="59">
        <f>+G13*C13</f>
        <v>2151.3557475000002</v>
      </c>
      <c r="L13" s="48">
        <f>+H13*C13</f>
        <v>4626.5715</v>
      </c>
      <c r="M13" s="48">
        <f>IF(D13=0," ",(I13*C13))</f>
        <v>322.70336212500007</v>
      </c>
      <c r="N13" s="199">
        <f t="shared" si="0"/>
        <v>693.98572500000012</v>
      </c>
      <c r="O13" s="257"/>
      <c r="P13" s="48"/>
      <c r="Q13" s="48"/>
    </row>
    <row r="14" spans="1:17" s="21" customFormat="1" ht="18.5" x14ac:dyDescent="0.45">
      <c r="A14" s="75" t="str">
        <f>IF(F14&lt;&gt;"",(LARGE(A$4:A13,1)+1),"")</f>
        <v/>
      </c>
      <c r="B14" s="151"/>
      <c r="C14" s="144"/>
      <c r="D14" s="51"/>
      <c r="E14" s="48"/>
      <c r="F14" s="199"/>
      <c r="G14" s="59"/>
      <c r="H14" s="48"/>
      <c r="I14" s="48" t="str">
        <f>IF(D14=0," ",(G14)*(Details!$C$4+Details!$C$8))</f>
        <v xml:space="preserve"> </v>
      </c>
      <c r="J14" s="199" t="str">
        <f>IF(D14=0," ",(H14)*(Details!$C$6+Details!$C$8))</f>
        <v xml:space="preserve"> </v>
      </c>
      <c r="K14" s="15"/>
      <c r="L14" s="20"/>
      <c r="M14" s="20"/>
      <c r="N14" s="199" t="str">
        <f t="shared" si="0"/>
        <v xml:space="preserve"> </v>
      </c>
    </row>
    <row r="15" spans="1:17" s="21" customFormat="1" ht="18.5" x14ac:dyDescent="0.45">
      <c r="A15" s="75">
        <f>IF(F15&lt;&gt;"",(LARGE(A$4:A14,1)+1),"")</f>
        <v>3</v>
      </c>
      <c r="B15" s="151" t="s">
        <v>215</v>
      </c>
      <c r="C15" s="144">
        <v>450.32</v>
      </c>
      <c r="D15" s="51" t="s">
        <v>10</v>
      </c>
      <c r="E15" s="48">
        <f>G15+H15+J15+I15</f>
        <v>58.123874999999998</v>
      </c>
      <c r="F15" s="199">
        <f>E15*C15</f>
        <v>26174.343389999998</v>
      </c>
      <c r="G15" s="59">
        <v>16.0425</v>
      </c>
      <c r="H15" s="48">
        <v>34.5</v>
      </c>
      <c r="I15" s="48">
        <f>IF(D15=0," ",(G15)*(Details!$C$4+Details!$C$8))</f>
        <v>2.4063750000000006</v>
      </c>
      <c r="J15" s="199">
        <f>IF(D15=0," ",(H15)*(Details!$C$6+Details!$C$8))</f>
        <v>5.1750000000000007</v>
      </c>
      <c r="K15" s="59">
        <f>+G15*C15</f>
        <v>7224.2586000000001</v>
      </c>
      <c r="L15" s="48">
        <f>+H15*C15</f>
        <v>15536.039999999999</v>
      </c>
      <c r="M15" s="48">
        <f>IF(D15=0," ",(I15*C15))</f>
        <v>1083.6387900000002</v>
      </c>
      <c r="N15" s="199">
        <f t="shared" si="0"/>
        <v>2330.4060000000004</v>
      </c>
    </row>
    <row r="16" spans="1:17" s="21" customFormat="1" ht="18.5" x14ac:dyDescent="0.45">
      <c r="A16" s="75" t="str">
        <f>IF(F16&lt;&gt;"",(LARGE(A$4:A15,1)+1),"")</f>
        <v/>
      </c>
      <c r="B16" s="151"/>
      <c r="C16" s="144"/>
      <c r="D16" s="51"/>
      <c r="E16" s="48"/>
      <c r="F16" s="199"/>
      <c r="G16" s="59"/>
      <c r="H16" s="48"/>
      <c r="I16" s="48"/>
      <c r="J16" s="199"/>
      <c r="K16" s="59"/>
      <c r="L16" s="48"/>
      <c r="M16" s="48"/>
      <c r="N16" s="199"/>
    </row>
    <row r="17" spans="1:14" s="21" customFormat="1" ht="18.5" x14ac:dyDescent="0.45">
      <c r="A17" s="75">
        <f>IF(F17&lt;&gt;"",(LARGE(A$4:A16,1)+1),"")</f>
        <v>4</v>
      </c>
      <c r="B17" s="151" t="s">
        <v>216</v>
      </c>
      <c r="C17" s="144">
        <v>107.619</v>
      </c>
      <c r="D17" s="51" t="s">
        <v>10</v>
      </c>
      <c r="E17" s="48">
        <f>G17+H17+J17+I17</f>
        <v>71.601875000000007</v>
      </c>
      <c r="F17" s="199">
        <f>E17*C17</f>
        <v>7705.7221856250007</v>
      </c>
      <c r="G17" s="59">
        <v>19.762499999999999</v>
      </c>
      <c r="H17" s="48">
        <v>42.5</v>
      </c>
      <c r="I17" s="48">
        <f>IF(D17=0," ",(G17)*(Details!$C$4+Details!$C$8))</f>
        <v>2.9643750000000004</v>
      </c>
      <c r="J17" s="199">
        <f>IF(D17=0," ",(H17)*(Details!$C$6+Details!$C$8))</f>
        <v>6.3750000000000009</v>
      </c>
      <c r="K17" s="59">
        <f>+G17*C17</f>
        <v>2126.8204875000001</v>
      </c>
      <c r="L17" s="48">
        <f>+H17*C17</f>
        <v>4573.8074999999999</v>
      </c>
      <c r="M17" s="48">
        <f>IF(D17=0," ",(I17*C17))</f>
        <v>319.02307312500005</v>
      </c>
      <c r="N17" s="199">
        <f>IF(D17=0," ",(J17*C17))</f>
        <v>686.07112500000005</v>
      </c>
    </row>
    <row r="18" spans="1:14" s="38" customFormat="1" ht="18.5" x14ac:dyDescent="0.45">
      <c r="A18" s="75" t="str">
        <f>IF(F18&lt;&gt;"",(LARGE(A$4:A17,1)+1),"")</f>
        <v/>
      </c>
      <c r="B18" s="151"/>
      <c r="C18" s="144"/>
      <c r="D18" s="51"/>
      <c r="E18" s="48"/>
      <c r="F18" s="199"/>
      <c r="G18" s="59"/>
      <c r="H18" s="48"/>
      <c r="I18" s="48" t="str">
        <f>IF(D18=0," ",(G18)*(Details!$C$4+Details!$C$8))</f>
        <v xml:space="preserve"> </v>
      </c>
      <c r="J18" s="199" t="str">
        <f>IF(D18=0," ",(H18)*(Details!$C$6+Details!$C$8))</f>
        <v xml:space="preserve"> </v>
      </c>
      <c r="K18" s="15"/>
      <c r="L18" s="20"/>
      <c r="M18" s="20"/>
      <c r="N18" s="199" t="str">
        <f>IF(D18=0," ",(J18*C18))</f>
        <v xml:space="preserve"> </v>
      </c>
    </row>
    <row r="19" spans="1:14" s="38" customFormat="1" ht="18.5" x14ac:dyDescent="0.45">
      <c r="A19" s="75" t="str">
        <f>IF(F19&lt;&gt;"",(LARGE(A$4:A18,1)+1),"")</f>
        <v/>
      </c>
      <c r="B19" s="164" t="s">
        <v>217</v>
      </c>
      <c r="C19" s="144"/>
      <c r="D19" s="51"/>
      <c r="E19" s="48"/>
      <c r="F19" s="199"/>
      <c r="G19" s="59"/>
      <c r="H19" s="48"/>
      <c r="I19" s="48"/>
      <c r="J19" s="199"/>
      <c r="K19" s="15"/>
      <c r="L19" s="20"/>
      <c r="M19" s="20"/>
      <c r="N19" s="199"/>
    </row>
    <row r="20" spans="1:14" s="38" customFormat="1" ht="18.5" x14ac:dyDescent="0.45">
      <c r="A20" s="75" t="str">
        <f>IF(F20&lt;&gt;"",(LARGE(A$4:A19,1)+1),"")</f>
        <v/>
      </c>
      <c r="B20" s="151"/>
      <c r="C20" s="144"/>
      <c r="D20" s="51"/>
      <c r="E20" s="48"/>
      <c r="F20" s="199"/>
      <c r="G20" s="59"/>
      <c r="H20" s="48"/>
      <c r="I20" s="48"/>
      <c r="J20" s="199"/>
      <c r="K20" s="15"/>
      <c r="L20" s="20"/>
      <c r="M20" s="20"/>
      <c r="N20" s="199"/>
    </row>
    <row r="21" spans="1:14" s="38" customFormat="1" ht="18.5" x14ac:dyDescent="0.45">
      <c r="A21" s="75">
        <f>IF(F21&lt;&gt;"",(LARGE(A$4:A20,1)+1),"")</f>
        <v>5</v>
      </c>
      <c r="B21" s="151" t="s">
        <v>218</v>
      </c>
      <c r="C21" s="144">
        <v>540.64289999999994</v>
      </c>
      <c r="D21" s="51" t="s">
        <v>13</v>
      </c>
      <c r="E21" s="48">
        <f t="shared" ref="E21" si="1">G21+H21+J21+I21</f>
        <v>26.113624999999999</v>
      </c>
      <c r="F21" s="199">
        <f>E21*C21</f>
        <v>14118.145949512498</v>
      </c>
      <c r="G21" s="59">
        <v>7.2075000000000005</v>
      </c>
      <c r="H21" s="48">
        <v>15.5</v>
      </c>
      <c r="I21" s="48">
        <f>IF(D21=0," ",(G21)*(Details!$C$4+Details!$C$8))</f>
        <v>1.0811250000000003</v>
      </c>
      <c r="J21" s="199">
        <f>IF(D21=0," ",(H21)*(Details!$C$6+Details!$C$8))</f>
        <v>2.3250000000000002</v>
      </c>
      <c r="K21" s="59">
        <f t="shared" ref="K21" si="2">+G21*C21</f>
        <v>3896.6837017499997</v>
      </c>
      <c r="L21" s="48">
        <f t="shared" ref="L21" si="3">+H21*C21</f>
        <v>8379.9649499999996</v>
      </c>
      <c r="M21" s="48">
        <f t="shared" ref="M21" si="4">IF(D21=0," ",(I21*C21))</f>
        <v>584.5025552625001</v>
      </c>
      <c r="N21" s="199">
        <f t="shared" ref="N21" si="5">IF(D21=0," ",(J21*C21))</f>
        <v>1256.9947425</v>
      </c>
    </row>
    <row r="22" spans="1:14" s="38" customFormat="1" ht="18.5" x14ac:dyDescent="0.45">
      <c r="A22" s="75" t="str">
        <f>IF(F22&lt;&gt;"",(LARGE(A$4:A21,1)+1),"")</f>
        <v/>
      </c>
      <c r="B22" s="151"/>
      <c r="C22" s="144"/>
      <c r="D22" s="51"/>
      <c r="E22" s="48"/>
      <c r="F22" s="199"/>
      <c r="G22" s="59"/>
      <c r="H22" s="48"/>
      <c r="I22" s="48"/>
      <c r="J22" s="199"/>
      <c r="K22" s="15"/>
      <c r="L22" s="20"/>
      <c r="M22" s="20"/>
      <c r="N22" s="199"/>
    </row>
    <row r="23" spans="1:14" s="38" customFormat="1" ht="18.5" x14ac:dyDescent="0.45">
      <c r="A23" s="75">
        <f>IF(F23&lt;&gt;"",(LARGE(A$4:A22,1)+1),"")</f>
        <v>6</v>
      </c>
      <c r="B23" s="151" t="s">
        <v>219</v>
      </c>
      <c r="C23" s="144">
        <v>870.82830000000001</v>
      </c>
      <c r="D23" s="51" t="s">
        <v>13</v>
      </c>
      <c r="E23" s="48">
        <f t="shared" ref="E23" si="6">G23+H23+J23+I23</f>
        <v>29.483125000000005</v>
      </c>
      <c r="F23" s="199">
        <f>E23*C23</f>
        <v>25674.739622437504</v>
      </c>
      <c r="G23" s="59">
        <v>8.1375000000000011</v>
      </c>
      <c r="H23" s="48">
        <v>17.5</v>
      </c>
      <c r="I23" s="48">
        <f>IF(D23=0," ",(G23)*(Details!$C$4+Details!$C$8))</f>
        <v>1.2206250000000003</v>
      </c>
      <c r="J23" s="199">
        <f>IF(D23=0," ",(H23)*(Details!$C$6+Details!$C$8))</f>
        <v>2.6250000000000004</v>
      </c>
      <c r="K23" s="59">
        <f t="shared" ref="K23" si="7">+G23*C23</f>
        <v>7086.3652912500011</v>
      </c>
      <c r="L23" s="48">
        <f t="shared" ref="L23" si="8">+H23*C23</f>
        <v>15239.49525</v>
      </c>
      <c r="M23" s="48">
        <f t="shared" ref="M23" si="9">IF(D23=0," ",(I23*C23))</f>
        <v>1062.9547936875003</v>
      </c>
      <c r="N23" s="199">
        <f t="shared" ref="N23" si="10">IF(D23=0," ",(J23*C23))</f>
        <v>2285.9242875000004</v>
      </c>
    </row>
    <row r="24" spans="1:14" s="38" customFormat="1" ht="18.5" x14ac:dyDescent="0.45">
      <c r="A24" s="75" t="str">
        <f>IF(F24&lt;&gt;"",(LARGE(A$4:A23,1)+1),"")</f>
        <v/>
      </c>
      <c r="B24" s="151"/>
      <c r="C24" s="144"/>
      <c r="D24" s="51"/>
      <c r="E24" s="48"/>
      <c r="F24" s="199"/>
      <c r="G24" s="59"/>
      <c r="H24" s="48"/>
      <c r="I24" s="48"/>
      <c r="J24" s="199"/>
      <c r="K24" s="15"/>
      <c r="L24" s="20"/>
      <c r="M24" s="20"/>
      <c r="N24" s="199"/>
    </row>
    <row r="25" spans="1:14" s="38" customFormat="1" ht="18.5" x14ac:dyDescent="0.45">
      <c r="A25" s="75">
        <f>IF(F25&lt;&gt;"",(LARGE(A$4:A24,1)+1),"")</f>
        <v>7</v>
      </c>
      <c r="B25" s="151" t="s">
        <v>220</v>
      </c>
      <c r="C25" s="144">
        <v>206.49999999999997</v>
      </c>
      <c r="D25" s="51" t="s">
        <v>13</v>
      </c>
      <c r="E25" s="48">
        <f t="shared" ref="E25" si="11">G25+H25+J25+I25</f>
        <v>32.852625000000003</v>
      </c>
      <c r="F25" s="199">
        <f>E25*C25</f>
        <v>6784.0670624999993</v>
      </c>
      <c r="G25" s="59">
        <v>9.0675000000000008</v>
      </c>
      <c r="H25" s="48">
        <v>19.5</v>
      </c>
      <c r="I25" s="48">
        <f>IF(D25=0," ",(G25)*(Details!$C$4+Details!$C$8))</f>
        <v>1.3601250000000003</v>
      </c>
      <c r="J25" s="199">
        <f>IF(D25=0," ",(H25)*(Details!$C$6+Details!$C$8))</f>
        <v>2.9250000000000003</v>
      </c>
      <c r="K25" s="59">
        <f t="shared" ref="K25" si="12">+G25*C25</f>
        <v>1872.4387499999998</v>
      </c>
      <c r="L25" s="48">
        <f t="shared" ref="L25" si="13">+H25*C25</f>
        <v>4026.7499999999995</v>
      </c>
      <c r="M25" s="48">
        <f t="shared" ref="M25" si="14">IF(D25=0," ",(I25*C25))</f>
        <v>280.8658125</v>
      </c>
      <c r="N25" s="199">
        <f t="shared" ref="N25" si="15">IF(D25=0," ",(J25*C25))</f>
        <v>604.01249999999993</v>
      </c>
    </row>
    <row r="26" spans="1:14" s="38" customFormat="1" ht="18.5" x14ac:dyDescent="0.45">
      <c r="A26" s="75" t="str">
        <f>IF(F26&lt;&gt;"",(LARGE(A$4:A25,1)+1),"")</f>
        <v/>
      </c>
      <c r="B26" s="151"/>
      <c r="C26" s="144"/>
      <c r="D26" s="51"/>
      <c r="E26" s="48"/>
      <c r="F26" s="199"/>
      <c r="G26" s="59"/>
      <c r="H26" s="48"/>
      <c r="I26" s="48"/>
      <c r="J26" s="199"/>
      <c r="K26" s="15"/>
      <c r="L26" s="20"/>
      <c r="M26" s="20"/>
      <c r="N26" s="199"/>
    </row>
    <row r="27" spans="1:14" s="38" customFormat="1" ht="18.5" x14ac:dyDescent="0.45">
      <c r="A27" s="75">
        <f>IF(F27&lt;&gt;"",(LARGE(A$4:A26,1)+1),"")</f>
        <v>8</v>
      </c>
      <c r="B27" s="151" t="s">
        <v>221</v>
      </c>
      <c r="C27" s="144">
        <v>239.41847999999999</v>
      </c>
      <c r="D27" s="51" t="s">
        <v>10</v>
      </c>
      <c r="E27" s="48">
        <f t="shared" ref="E27" si="16">G27+H27+J27+I27</f>
        <v>19.627337499999999</v>
      </c>
      <c r="F27" s="199">
        <f>E27*C27</f>
        <v>4699.1473106969997</v>
      </c>
      <c r="G27" s="59">
        <v>5.4172500000000001</v>
      </c>
      <c r="H27" s="48">
        <v>11.65</v>
      </c>
      <c r="I27" s="48">
        <f>IF(D27=0," ",(G27)*(Details!$C$4+Details!$C$8))</f>
        <v>0.81258750000000013</v>
      </c>
      <c r="J27" s="199">
        <f>IF(D27=0," ",(H27)*(Details!$C$6+Details!$C$8))</f>
        <v>1.7475000000000003</v>
      </c>
      <c r="K27" s="59">
        <f t="shared" ref="K27" si="17">+G27*C27</f>
        <v>1296.9897607799999</v>
      </c>
      <c r="L27" s="48">
        <f t="shared" ref="L27" si="18">+H27*C27</f>
        <v>2789.2252920000001</v>
      </c>
      <c r="M27" s="48">
        <f t="shared" ref="M27" si="19">IF(D27=0," ",(I27*C27))</f>
        <v>194.54846411700001</v>
      </c>
      <c r="N27" s="199">
        <f t="shared" ref="N27" si="20">IF(D27=0," ",(J27*C27))</f>
        <v>418.38379380000003</v>
      </c>
    </row>
    <row r="28" spans="1:14" s="38" customFormat="1" ht="18.5" x14ac:dyDescent="0.45">
      <c r="A28" s="75" t="str">
        <f>IF(F28&lt;&gt;"",(LARGE(A$4:A27,1)+1),"")</f>
        <v/>
      </c>
      <c r="B28" s="151"/>
      <c r="C28" s="144"/>
      <c r="D28" s="51"/>
      <c r="E28" s="48"/>
      <c r="F28" s="199"/>
      <c r="G28" s="59"/>
      <c r="H28" s="48"/>
      <c r="I28" s="48"/>
      <c r="J28" s="199"/>
      <c r="K28" s="15"/>
      <c r="L28" s="20"/>
      <c r="M28" s="20"/>
      <c r="N28" s="199"/>
    </row>
    <row r="29" spans="1:14" s="38" customFormat="1" ht="18.5" x14ac:dyDescent="0.45">
      <c r="A29" s="75">
        <f>IF(F29&lt;&gt;"",(LARGE(A$4:A28,1)+1),"")</f>
        <v>9</v>
      </c>
      <c r="B29" s="151" t="s">
        <v>222</v>
      </c>
      <c r="C29" s="144">
        <v>417.93000000000006</v>
      </c>
      <c r="D29" s="51" t="s">
        <v>10</v>
      </c>
      <c r="E29" s="48">
        <f t="shared" ref="E29" si="21">G29+H29+J29+I29</f>
        <v>19.964287500000001</v>
      </c>
      <c r="F29" s="199">
        <f>E29*C29</f>
        <v>8343.6746748750011</v>
      </c>
      <c r="G29" s="59">
        <v>5.5102500000000001</v>
      </c>
      <c r="H29" s="48">
        <v>11.85</v>
      </c>
      <c r="I29" s="48">
        <f>IF(D29=0," ",(G29)*(Details!$C$4+Details!$C$8))</f>
        <v>0.82653750000000015</v>
      </c>
      <c r="J29" s="199">
        <f>IF(D29=0," ",(H29)*(Details!$C$6+Details!$C$8))</f>
        <v>1.7775000000000003</v>
      </c>
      <c r="K29" s="59">
        <f t="shared" ref="K29" si="22">+G29*C29</f>
        <v>2302.8987825000004</v>
      </c>
      <c r="L29" s="48">
        <f t="shared" ref="L29" si="23">+H29*C29</f>
        <v>4952.4705000000004</v>
      </c>
      <c r="M29" s="48">
        <f t="shared" ref="M29" si="24">IF(D29=0," ",(I29*C29))</f>
        <v>345.43481737500014</v>
      </c>
      <c r="N29" s="199">
        <f t="shared" ref="N29" si="25">IF(D29=0," ",(J29*C29))</f>
        <v>742.87057500000026</v>
      </c>
    </row>
    <row r="30" spans="1:14" s="38" customFormat="1" ht="18.5" x14ac:dyDescent="0.45">
      <c r="A30" s="75" t="str">
        <f>IF(F30&lt;&gt;"",(LARGE(A$4:A29,1)+1),"")</f>
        <v/>
      </c>
      <c r="B30" s="151"/>
      <c r="C30" s="144"/>
      <c r="D30" s="51"/>
      <c r="E30" s="48"/>
      <c r="F30" s="199"/>
      <c r="G30" s="59"/>
      <c r="H30" s="48"/>
      <c r="I30" s="48"/>
      <c r="J30" s="199"/>
      <c r="K30" s="15"/>
      <c r="L30" s="20"/>
      <c r="M30" s="20"/>
      <c r="N30" s="199"/>
    </row>
    <row r="31" spans="1:14" s="38" customFormat="1" ht="18.5" x14ac:dyDescent="0.45">
      <c r="A31" s="75" t="str">
        <f>IF(F31&lt;&gt;"",(LARGE(A$4:A30,1)+1),"")</f>
        <v/>
      </c>
      <c r="B31" s="164" t="s">
        <v>195</v>
      </c>
      <c r="C31" s="144"/>
      <c r="D31" s="51"/>
      <c r="E31" s="48"/>
      <c r="F31" s="199"/>
      <c r="G31" s="59"/>
      <c r="H31" s="48"/>
      <c r="I31" s="48"/>
      <c r="J31" s="199"/>
      <c r="K31" s="15"/>
      <c r="L31" s="20"/>
      <c r="M31" s="20"/>
      <c r="N31" s="199"/>
    </row>
    <row r="32" spans="1:14" s="38" customFormat="1" ht="18.5" x14ac:dyDescent="0.45">
      <c r="A32" s="75" t="str">
        <f>IF(F32&lt;&gt;"",(LARGE(A$4:A31,1)+1),"")</f>
        <v/>
      </c>
      <c r="B32" s="151"/>
      <c r="C32" s="144"/>
      <c r="D32" s="51"/>
      <c r="E32" s="48"/>
      <c r="F32" s="199"/>
      <c r="G32" s="59"/>
      <c r="H32" s="48"/>
      <c r="I32" s="48"/>
      <c r="J32" s="199"/>
      <c r="K32" s="15"/>
      <c r="L32" s="20"/>
      <c r="M32" s="20"/>
      <c r="N32" s="199"/>
    </row>
    <row r="33" spans="1:14" s="38" customFormat="1" ht="18.5" x14ac:dyDescent="0.45">
      <c r="A33" s="75">
        <f>IF(F33&lt;&gt;"",(LARGE(A$4:A32,1)+1),"")</f>
        <v>10</v>
      </c>
      <c r="B33" s="151" t="s">
        <v>223</v>
      </c>
      <c r="C33" s="144">
        <v>11.93</v>
      </c>
      <c r="D33" s="51" t="s">
        <v>13</v>
      </c>
      <c r="E33" s="48">
        <f t="shared" ref="E33" si="26">G33+H33+J33+I33</f>
        <v>37.906874999999999</v>
      </c>
      <c r="F33" s="199">
        <f>E33*C33</f>
        <v>452.22901874999997</v>
      </c>
      <c r="G33" s="59">
        <v>10.4625</v>
      </c>
      <c r="H33" s="48">
        <v>22.5</v>
      </c>
      <c r="I33" s="48">
        <f>IF(D33=0," ",(G33)*(Details!$C$4+Details!$C$8))</f>
        <v>1.5693750000000002</v>
      </c>
      <c r="J33" s="199">
        <f>IF(D33=0," ",(H33)*(Details!$C$6+Details!$C$8))</f>
        <v>3.3750000000000004</v>
      </c>
      <c r="K33" s="59">
        <f t="shared" ref="K33" si="27">+G33*C33</f>
        <v>124.81762500000001</v>
      </c>
      <c r="L33" s="48">
        <f t="shared" ref="L33" si="28">+H33*C33</f>
        <v>268.42500000000001</v>
      </c>
      <c r="M33" s="48">
        <f t="shared" ref="M33" si="29">IF(D33=0," ",(I33*C33))</f>
        <v>18.722643750000003</v>
      </c>
      <c r="N33" s="199">
        <f t="shared" ref="N33" si="30">IF(D33=0," ",(J33*C33))</f>
        <v>40.263750000000002</v>
      </c>
    </row>
    <row r="34" spans="1:14" s="38" customFormat="1" ht="18.5" x14ac:dyDescent="0.45">
      <c r="A34" s="75" t="str">
        <f>IF(F34&lt;&gt;"",(LARGE(A$4:A33,1)+1),"")</f>
        <v/>
      </c>
      <c r="B34" s="151"/>
      <c r="C34" s="144"/>
      <c r="D34" s="51"/>
      <c r="E34" s="48"/>
      <c r="F34" s="199"/>
      <c r="G34" s="59"/>
      <c r="H34" s="48"/>
      <c r="I34" s="48"/>
      <c r="J34" s="199"/>
      <c r="K34" s="15"/>
      <c r="L34" s="20"/>
      <c r="M34" s="20"/>
      <c r="N34" s="199"/>
    </row>
    <row r="35" spans="1:14" s="38" customFormat="1" ht="18.5" x14ac:dyDescent="0.45">
      <c r="A35" s="75">
        <f>IF(F35&lt;&gt;"",(LARGE(A$4:A34,1)+1),"")</f>
        <v>11</v>
      </c>
      <c r="B35" s="151" t="s">
        <v>224</v>
      </c>
      <c r="C35" s="144">
        <v>8.8800000000000008</v>
      </c>
      <c r="D35" s="51" t="s">
        <v>13</v>
      </c>
      <c r="E35" s="48">
        <f t="shared" ref="E35" si="31">G35+H35+J35+I35</f>
        <v>29.483125000000005</v>
      </c>
      <c r="F35" s="199">
        <f>E35*C35</f>
        <v>261.81015000000008</v>
      </c>
      <c r="G35" s="59">
        <v>8.1375000000000011</v>
      </c>
      <c r="H35" s="48">
        <v>17.5</v>
      </c>
      <c r="I35" s="48">
        <f>IF(D35=0," ",(G35)*(Details!$C$4+Details!$C$8))</f>
        <v>1.2206250000000003</v>
      </c>
      <c r="J35" s="199">
        <f>IF(D35=0," ",(H35)*(Details!$C$6+Details!$C$8))</f>
        <v>2.6250000000000004</v>
      </c>
      <c r="K35" s="59">
        <f t="shared" ref="K35" si="32">+G35*C35</f>
        <v>72.26100000000001</v>
      </c>
      <c r="L35" s="48">
        <f t="shared" ref="L35" si="33">+H35*C35</f>
        <v>155.4</v>
      </c>
      <c r="M35" s="48">
        <f t="shared" ref="M35" si="34">IF(D35=0," ",(I35*C35))</f>
        <v>10.839150000000004</v>
      </c>
      <c r="N35" s="199">
        <f t="shared" ref="N35" si="35">IF(D35=0," ",(J35*C35))</f>
        <v>23.310000000000006</v>
      </c>
    </row>
    <row r="36" spans="1:14" s="38" customFormat="1" ht="18.5" x14ac:dyDescent="0.45">
      <c r="A36" s="75" t="str">
        <f>IF(F36&lt;&gt;"",(LARGE(A$4:A35,1)+1),"")</f>
        <v/>
      </c>
      <c r="B36" s="151"/>
      <c r="C36" s="144"/>
      <c r="D36" s="51"/>
      <c r="E36" s="48"/>
      <c r="F36" s="199"/>
      <c r="G36" s="59"/>
      <c r="H36" s="48"/>
      <c r="I36" s="48"/>
      <c r="J36" s="199"/>
      <c r="K36" s="15"/>
      <c r="L36" s="20"/>
      <c r="M36" s="20"/>
      <c r="N36" s="199"/>
    </row>
    <row r="37" spans="1:14" s="21" customFormat="1" ht="18.5" x14ac:dyDescent="0.45">
      <c r="A37" s="75" t="str">
        <f>IF(F37&lt;&gt;"",(LARGE(A$4:A36,1)+1),"")</f>
        <v/>
      </c>
      <c r="B37" s="164" t="s">
        <v>98</v>
      </c>
      <c r="C37" s="152"/>
      <c r="D37" s="51"/>
      <c r="E37" s="48"/>
      <c r="F37" s="199"/>
      <c r="G37" s="59"/>
      <c r="H37" s="48"/>
      <c r="I37" s="48" t="str">
        <f>IF(D37=0," ",(G37)*(Details!$C$4+Details!$C$8))</f>
        <v xml:space="preserve"> </v>
      </c>
      <c r="J37" s="199" t="str">
        <f>IF(D37=0," ",(H37)*(Details!$C$6+Details!$C$8))</f>
        <v xml:space="preserve"> </v>
      </c>
      <c r="K37" s="59"/>
      <c r="L37" s="48"/>
      <c r="M37" s="48" t="str">
        <f t="shared" ref="M37" si="36">IF(D37=0," ",(I37*C37))</f>
        <v xml:space="preserve"> </v>
      </c>
      <c r="N37" s="199" t="str">
        <f>IF(D37=0," ",(J37*C37))</f>
        <v xml:space="preserve"> </v>
      </c>
    </row>
    <row r="38" spans="1:14" s="21" customFormat="1" ht="18.5" x14ac:dyDescent="0.45">
      <c r="A38" s="75" t="str">
        <f>IF(F38&lt;&gt;"",(LARGE(A$4:A37,1)+1),"")</f>
        <v/>
      </c>
      <c r="B38" s="151"/>
      <c r="C38" s="152"/>
      <c r="D38" s="51"/>
      <c r="E38" s="48"/>
      <c r="F38" s="199"/>
      <c r="G38" s="59"/>
      <c r="H38" s="48"/>
      <c r="I38" s="48" t="str">
        <f>IF(D38=0," ",(G38)*(Details!$C$4+Details!$C$8))</f>
        <v xml:space="preserve"> </v>
      </c>
      <c r="J38" s="199" t="str">
        <f>IF(D38=0," ",(H38)*(Details!$C$6+Details!$C$8))</f>
        <v xml:space="preserve"> </v>
      </c>
      <c r="K38" s="15"/>
      <c r="L38" s="20"/>
      <c r="M38" s="20"/>
      <c r="N38" s="199" t="str">
        <f>IF(D38=0," ",(J38*C38))</f>
        <v xml:space="preserve"> </v>
      </c>
    </row>
    <row r="39" spans="1:14" s="21" customFormat="1" ht="18.5" x14ac:dyDescent="0.45">
      <c r="A39" s="75">
        <f>IF(F39&lt;&gt;"",(LARGE(A$4:A38,1)+1),"")</f>
        <v>12</v>
      </c>
      <c r="B39" s="151" t="s">
        <v>225</v>
      </c>
      <c r="C39" s="144">
        <v>21.41</v>
      </c>
      <c r="D39" s="51" t="s">
        <v>13</v>
      </c>
      <c r="E39" s="48">
        <f t="shared" ref="E39" si="37">G39+H39+J39+I39</f>
        <v>22.744125000000004</v>
      </c>
      <c r="F39" s="199">
        <f>E39*C39</f>
        <v>486.95171625000006</v>
      </c>
      <c r="G39" s="59">
        <v>6.2775000000000007</v>
      </c>
      <c r="H39" s="48">
        <v>13.5</v>
      </c>
      <c r="I39" s="48">
        <f>IF(D39=0," ",(G39)*(Details!$C$4+Details!$C$8))</f>
        <v>0.94162500000000027</v>
      </c>
      <c r="J39" s="199">
        <f>IF(D39=0," ",(H39)*(Details!$C$6+Details!$C$8))</f>
        <v>2.0250000000000004</v>
      </c>
      <c r="K39" s="59">
        <f t="shared" ref="K39" si="38">+G39*C39</f>
        <v>134.40127500000003</v>
      </c>
      <c r="L39" s="48">
        <f t="shared" ref="L39" si="39">+H39*C39</f>
        <v>289.03500000000003</v>
      </c>
      <c r="M39" s="48">
        <f t="shared" ref="M39" si="40">IF(D39=0," ",(I39*C39))</f>
        <v>20.160191250000008</v>
      </c>
      <c r="N39" s="199">
        <f t="shared" ref="N39" si="41">IF(D39=0," ",(J39*C39))</f>
        <v>43.355250000000005</v>
      </c>
    </row>
    <row r="40" spans="1:14" s="21" customFormat="1" ht="18.5" x14ac:dyDescent="0.45">
      <c r="A40" s="75" t="str">
        <f>IF(F40&lt;&gt;"",(LARGE(A$4:A39,1)+1),"")</f>
        <v/>
      </c>
      <c r="B40" s="151"/>
      <c r="C40" s="144"/>
      <c r="D40" s="51"/>
      <c r="E40" s="48"/>
      <c r="F40" s="199"/>
      <c r="G40" s="59"/>
      <c r="H40" s="48"/>
      <c r="I40" s="48" t="str">
        <f>IF(D40=0," ",(G40)*(Details!$C$4+Details!$C$8))</f>
        <v xml:space="preserve"> </v>
      </c>
      <c r="J40" s="199" t="str">
        <f>IF(D40=0," ",(H40)*(Details!$C$6+Details!$C$8))</f>
        <v xml:space="preserve"> </v>
      </c>
      <c r="K40" s="15"/>
      <c r="L40" s="20"/>
      <c r="M40" s="20"/>
      <c r="N40" s="199" t="str">
        <f>IF(D40=0," ",(J40*C40))</f>
        <v xml:space="preserve"> </v>
      </c>
    </row>
    <row r="41" spans="1:14" s="21" customFormat="1" ht="18.5" x14ac:dyDescent="0.45">
      <c r="A41" s="75">
        <f>IF(F41&lt;&gt;"",(LARGE(A$4:A40,1)+1),"")</f>
        <v>13</v>
      </c>
      <c r="B41" s="151" t="s">
        <v>226</v>
      </c>
      <c r="C41" s="144">
        <v>2.3199999999999998</v>
      </c>
      <c r="D41" s="51" t="s">
        <v>13</v>
      </c>
      <c r="E41" s="48">
        <f t="shared" ref="E41" si="42">G41+H41+J41+I41</f>
        <v>28.388037500000003</v>
      </c>
      <c r="F41" s="199">
        <f>E41*C41</f>
        <v>65.860247000000001</v>
      </c>
      <c r="G41" s="59">
        <v>7.8352500000000012</v>
      </c>
      <c r="H41" s="48">
        <v>16.850000000000001</v>
      </c>
      <c r="I41" s="48">
        <f>IF(D41=0," ",(G41)*(Details!$C$4+Details!$C$8))</f>
        <v>1.1752875000000003</v>
      </c>
      <c r="J41" s="199">
        <f>IF(D41=0," ",(H41)*(Details!$C$6+Details!$C$8))</f>
        <v>2.5275000000000007</v>
      </c>
      <c r="K41" s="59">
        <f t="shared" ref="K41" si="43">+G41*C41</f>
        <v>18.177780000000002</v>
      </c>
      <c r="L41" s="48">
        <f t="shared" ref="L41" si="44">+H41*C41</f>
        <v>39.091999999999999</v>
      </c>
      <c r="M41" s="48">
        <f t="shared" ref="M41" si="45">IF(D41=0," ",(I41*C41))</f>
        <v>2.7266670000000004</v>
      </c>
      <c r="N41" s="199">
        <f t="shared" ref="N41" si="46">IF(D41=0," ",(J41*C41))</f>
        <v>5.8638000000000012</v>
      </c>
    </row>
    <row r="42" spans="1:14" s="21" customFormat="1" ht="18.5" x14ac:dyDescent="0.45">
      <c r="A42" s="75" t="str">
        <f>IF(F42&lt;&gt;"",(LARGE(A$4:A41,1)+1),"")</f>
        <v/>
      </c>
      <c r="B42" s="151"/>
      <c r="C42" s="144"/>
      <c r="D42" s="51"/>
      <c r="E42" s="48"/>
      <c r="F42" s="199"/>
      <c r="G42" s="59"/>
      <c r="H42" s="48"/>
      <c r="I42" s="48"/>
      <c r="J42" s="199"/>
      <c r="K42" s="15"/>
      <c r="L42" s="20"/>
      <c r="M42" s="20"/>
      <c r="N42" s="199"/>
    </row>
    <row r="43" spans="1:14" s="21" customFormat="1" ht="18.5" x14ac:dyDescent="0.45">
      <c r="A43" s="75">
        <f>IF(F43&lt;&gt;"",(LARGE(A$4:A42,1)+1),"")</f>
        <v>14</v>
      </c>
      <c r="B43" s="151" t="s">
        <v>227</v>
      </c>
      <c r="C43" s="144">
        <v>30.64</v>
      </c>
      <c r="D43" s="51" t="s">
        <v>13</v>
      </c>
      <c r="E43" s="48">
        <f t="shared" ref="E43" si="47">G43+H43+J43+I43</f>
        <v>32.852625000000003</v>
      </c>
      <c r="F43" s="199">
        <f>E43*C43</f>
        <v>1006.6044300000001</v>
      </c>
      <c r="G43" s="59">
        <v>9.0675000000000008</v>
      </c>
      <c r="H43" s="48">
        <v>19.5</v>
      </c>
      <c r="I43" s="48">
        <f>IF(D43=0," ",(G43)*(Details!$C$4+Details!$C$8))</f>
        <v>1.3601250000000003</v>
      </c>
      <c r="J43" s="199">
        <f>IF(D43=0," ",(H43)*(Details!$C$6+Details!$C$8))</f>
        <v>2.9250000000000003</v>
      </c>
      <c r="K43" s="59">
        <f t="shared" ref="K43" si="48">+G43*C43</f>
        <v>277.82820000000004</v>
      </c>
      <c r="L43" s="48">
        <f t="shared" ref="L43" si="49">+H43*C43</f>
        <v>597.48</v>
      </c>
      <c r="M43" s="48">
        <f t="shared" ref="M43" si="50">IF(D43=0," ",(I43*C43))</f>
        <v>41.674230000000009</v>
      </c>
      <c r="N43" s="199">
        <f t="shared" ref="N43" si="51">IF(D43=0," ",(J43*C43))</f>
        <v>89.622000000000014</v>
      </c>
    </row>
    <row r="44" spans="1:14" s="21" customFormat="1" ht="18.5" x14ac:dyDescent="0.45">
      <c r="A44" s="75" t="str">
        <f>IF(F44&lt;&gt;"",(LARGE(A$4:A43,1)+1),"")</f>
        <v/>
      </c>
      <c r="B44" s="151"/>
      <c r="C44" s="152"/>
      <c r="D44" s="51"/>
      <c r="E44" s="48"/>
      <c r="F44" s="199"/>
      <c r="G44" s="59"/>
      <c r="H44" s="48"/>
      <c r="I44" s="48"/>
      <c r="J44" s="199"/>
      <c r="K44" s="15"/>
      <c r="L44" s="20"/>
      <c r="M44" s="20"/>
      <c r="N44" s="199"/>
    </row>
    <row r="45" spans="1:14" s="21" customFormat="1" ht="18.5" x14ac:dyDescent="0.45">
      <c r="A45" s="75" t="str">
        <f>IF(F45&lt;&gt;"",(LARGE(A$4:A44,1)+1),"")</f>
        <v/>
      </c>
      <c r="B45" s="164" t="s">
        <v>408</v>
      </c>
      <c r="C45" s="152"/>
      <c r="D45" s="51"/>
      <c r="E45" s="48"/>
      <c r="F45" s="199"/>
      <c r="G45" s="59"/>
      <c r="H45" s="48"/>
      <c r="I45" s="48" t="str">
        <f>IF(D45=0," ",(G45)*(Details!$C$4+Details!$C$8))</f>
        <v xml:space="preserve"> </v>
      </c>
      <c r="J45" s="199" t="str">
        <f>IF(D45=0," ",(H45)*(Details!$C$6+Details!$C$8))</f>
        <v xml:space="preserve"> </v>
      </c>
      <c r="K45" s="59"/>
      <c r="L45" s="48"/>
      <c r="M45" s="48"/>
      <c r="N45" s="199"/>
    </row>
    <row r="46" spans="1:14" s="21" customFormat="1" ht="18.5" x14ac:dyDescent="0.45">
      <c r="A46" s="75" t="str">
        <f>IF(F46&lt;&gt;"",(LARGE(A$4:A45,1)+1),"")</f>
        <v/>
      </c>
      <c r="B46" s="184"/>
      <c r="C46" s="152"/>
      <c r="D46" s="51"/>
      <c r="E46" s="48"/>
      <c r="F46" s="199"/>
      <c r="G46" s="59"/>
      <c r="H46" s="48"/>
      <c r="I46" s="48" t="str">
        <f>IF(D46=0," ",(G46)*(Details!$C$4+Details!$C$8))</f>
        <v xml:space="preserve"> </v>
      </c>
      <c r="J46" s="199" t="str">
        <f>IF(D46=0," ",(H46)*(Details!$C$6+Details!$C$8))</f>
        <v xml:space="preserve"> </v>
      </c>
      <c r="K46" s="15"/>
      <c r="L46" s="20"/>
      <c r="M46" s="20"/>
      <c r="N46" s="199" t="str">
        <f>IF(D46=0," ",(J46*C46))</f>
        <v xml:space="preserve"> </v>
      </c>
    </row>
    <row r="47" spans="1:14" s="21" customFormat="1" ht="18.5" x14ac:dyDescent="0.45">
      <c r="A47" s="75">
        <f>IF(F47&lt;&gt;"",(LARGE(A$4:A46,1)+1),"")</f>
        <v>15</v>
      </c>
      <c r="B47" s="38" t="s">
        <v>228</v>
      </c>
      <c r="C47" s="152">
        <v>20.32</v>
      </c>
      <c r="D47" s="51" t="s">
        <v>13</v>
      </c>
      <c r="E47" s="48">
        <f t="shared" ref="E47" si="52">G47+H47+J47+I47</f>
        <v>71.601875000000007</v>
      </c>
      <c r="F47" s="199">
        <f>E47*C47</f>
        <v>1454.9501000000002</v>
      </c>
      <c r="G47" s="59">
        <v>19.762499999999999</v>
      </c>
      <c r="H47" s="48">
        <v>42.5</v>
      </c>
      <c r="I47" s="48">
        <f>IF(D47=0," ",(G47)*(Details!$C$4+Details!$C$8))</f>
        <v>2.9643750000000004</v>
      </c>
      <c r="J47" s="199">
        <f>IF(D47=0," ",(H47)*(Details!$C$6+Details!$C$8))</f>
        <v>6.3750000000000009</v>
      </c>
      <c r="K47" s="59">
        <f t="shared" ref="K47" si="53">+G47*C47</f>
        <v>401.57400000000001</v>
      </c>
      <c r="L47" s="48">
        <f t="shared" ref="L47" si="54">+H47*C47</f>
        <v>863.6</v>
      </c>
      <c r="M47" s="48">
        <f t="shared" ref="M47" si="55">IF(D47=0," ",(I47*C47))</f>
        <v>60.236100000000008</v>
      </c>
      <c r="N47" s="199">
        <f t="shared" ref="N47" si="56">IF(D47=0," ",(J47*C47))</f>
        <v>129.54000000000002</v>
      </c>
    </row>
    <row r="48" spans="1:14" s="21" customFormat="1" ht="18.5" x14ac:dyDescent="0.45">
      <c r="A48" s="75" t="str">
        <f>IF(F48&lt;&gt;"",(LARGE(A$4:A47,1)+1),"")</f>
        <v/>
      </c>
      <c r="B48" s="151"/>
      <c r="C48" s="152"/>
      <c r="D48" s="51"/>
      <c r="E48" s="48"/>
      <c r="F48" s="199"/>
      <c r="G48" s="59"/>
      <c r="H48" s="48"/>
      <c r="I48" s="48" t="str">
        <f>IF(D48=0," ",(G48)*(Details!$C$4+Details!$C$8))</f>
        <v xml:space="preserve"> </v>
      </c>
      <c r="J48" s="199" t="str">
        <f>IF(D48=0," ",(H48)*(Details!$C$6+Details!$C$8))</f>
        <v xml:space="preserve"> </v>
      </c>
      <c r="K48" s="15"/>
      <c r="L48" s="20"/>
      <c r="M48" s="20"/>
      <c r="N48" s="199" t="str">
        <f>IF(D48=0," ",(J48*C48))</f>
        <v xml:space="preserve"> </v>
      </c>
    </row>
    <row r="49" spans="1:16" s="21" customFormat="1" ht="18.5" x14ac:dyDescent="0.45">
      <c r="A49" s="75">
        <f>IF(F49&lt;&gt;"",(LARGE(A$4:A48,1)+1),"")</f>
        <v>16</v>
      </c>
      <c r="B49" s="151" t="s">
        <v>229</v>
      </c>
      <c r="C49" s="152">
        <v>2</v>
      </c>
      <c r="D49" s="51" t="s">
        <v>12</v>
      </c>
      <c r="E49" s="48">
        <f t="shared" ref="E49" si="57">G49+H49+J49+I49</f>
        <v>379.06875000000002</v>
      </c>
      <c r="F49" s="199">
        <f>E49*C49</f>
        <v>758.13750000000005</v>
      </c>
      <c r="G49" s="59">
        <v>104.625</v>
      </c>
      <c r="H49" s="48">
        <v>225</v>
      </c>
      <c r="I49" s="48">
        <f>IF(D49=0," ",(G49)*(Details!$C$4+Details!$C$8))</f>
        <v>15.693750000000003</v>
      </c>
      <c r="J49" s="199">
        <f>IF(D49=0," ",(H49)*(Details!$C$6+Details!$C$8))</f>
        <v>33.750000000000007</v>
      </c>
      <c r="K49" s="59">
        <f t="shared" ref="K49" si="58">+G49*C49</f>
        <v>209.25</v>
      </c>
      <c r="L49" s="48">
        <f t="shared" ref="L49" si="59">+H49*C49</f>
        <v>450</v>
      </c>
      <c r="M49" s="48">
        <f t="shared" ref="M49" si="60">IF(D49=0," ",(I49*C49))</f>
        <v>31.387500000000006</v>
      </c>
      <c r="N49" s="199">
        <f t="shared" ref="N49" si="61">IF(D49=0," ",(J49*C49))</f>
        <v>67.500000000000014</v>
      </c>
    </row>
    <row r="50" spans="1:16" s="21" customFormat="1" ht="18.5" x14ac:dyDescent="0.45">
      <c r="A50" s="75" t="str">
        <f>IF(F50&lt;&gt;"",(LARGE(A$4:A49,1)+1),"")</f>
        <v/>
      </c>
      <c r="B50" s="151"/>
      <c r="C50" s="152"/>
      <c r="D50" s="51"/>
      <c r="E50" s="48"/>
      <c r="F50" s="199"/>
      <c r="G50" s="59"/>
      <c r="H50" s="48"/>
      <c r="I50" s="48"/>
      <c r="J50" s="199"/>
      <c r="K50" s="15"/>
      <c r="L50" s="20"/>
      <c r="M50" s="20"/>
      <c r="N50" s="199"/>
    </row>
    <row r="51" spans="1:16" s="21" customFormat="1" ht="18.5" x14ac:dyDescent="0.45">
      <c r="A51" s="75">
        <f>IF(F51&lt;&gt;"",(LARGE(A$4:A50,1)+1),"")</f>
        <v>17</v>
      </c>
      <c r="B51" s="38" t="s">
        <v>230</v>
      </c>
      <c r="C51" s="152">
        <v>20.32</v>
      </c>
      <c r="D51" s="51" t="s">
        <v>13</v>
      </c>
      <c r="E51" s="48">
        <f t="shared" ref="E51" si="62">G51+H51+J51+I51</f>
        <v>71.601875000000007</v>
      </c>
      <c r="F51" s="199">
        <f>E51*C51</f>
        <v>1454.9501000000002</v>
      </c>
      <c r="G51" s="59">
        <v>19.762499999999999</v>
      </c>
      <c r="H51" s="48">
        <v>42.5</v>
      </c>
      <c r="I51" s="48">
        <f>IF(D51=0," ",(G51)*(Details!$C$4+Details!$C$8))</f>
        <v>2.9643750000000004</v>
      </c>
      <c r="J51" s="199">
        <f>IF(D51=0," ",(H51)*(Details!$C$6+Details!$C$8))</f>
        <v>6.3750000000000009</v>
      </c>
      <c r="K51" s="59">
        <f t="shared" ref="K51" si="63">+G51*C51</f>
        <v>401.57400000000001</v>
      </c>
      <c r="L51" s="48">
        <f t="shared" ref="L51" si="64">+H51*C51</f>
        <v>863.6</v>
      </c>
      <c r="M51" s="48">
        <f t="shared" ref="M51" si="65">IF(D51=0," ",(I51*C51))</f>
        <v>60.236100000000008</v>
      </c>
      <c r="N51" s="199">
        <f t="shared" ref="N51" si="66">IF(D51=0," ",(J51*C51))</f>
        <v>129.54000000000002</v>
      </c>
    </row>
    <row r="52" spans="1:16" s="21" customFormat="1" ht="18.5" x14ac:dyDescent="0.45">
      <c r="A52" s="75" t="str">
        <f>IF(F52&lt;&gt;"",(LARGE(A$7:A51,1)+1),"")</f>
        <v/>
      </c>
      <c r="B52" s="151"/>
      <c r="C52" s="144"/>
      <c r="D52" s="51"/>
      <c r="E52" s="48"/>
      <c r="F52" s="199"/>
      <c r="G52" s="59"/>
      <c r="H52" s="48"/>
      <c r="I52" s="48"/>
      <c r="J52" s="199"/>
      <c r="K52" s="214"/>
      <c r="L52" s="20"/>
      <c r="M52" s="20"/>
      <c r="N52" s="199"/>
      <c r="P52" s="72" t="s">
        <v>125</v>
      </c>
    </row>
    <row r="53" spans="1:16" s="21" customFormat="1" ht="19" thickBot="1" x14ac:dyDescent="0.5">
      <c r="A53" s="49"/>
      <c r="B53" s="160"/>
      <c r="C53" s="144"/>
      <c r="D53" s="60"/>
      <c r="E53" s="62" t="s">
        <v>97</v>
      </c>
      <c r="F53" s="200">
        <f>SUM(F8:F52)</f>
        <v>126000.76689414703</v>
      </c>
      <c r="G53" s="59"/>
      <c r="H53" s="48"/>
      <c r="I53" s="48"/>
      <c r="J53" s="199" t="str">
        <f>IF(D53=0," ",(G53+H53)*(Details!$C$4+Details!$C$6))</f>
        <v xml:space="preserve"> </v>
      </c>
      <c r="K53" s="200">
        <f>SUM(K8:K52)</f>
        <v>34776.884763780006</v>
      </c>
      <c r="L53" s="200">
        <f>SUM(L8:L52)</f>
        <v>74788.999492000003</v>
      </c>
      <c r="M53" s="200">
        <f>SUM(M8:M52)</f>
        <v>5216.5327145670008</v>
      </c>
      <c r="N53" s="200">
        <f>SUM(N8:N52)</f>
        <v>11218.349923800004</v>
      </c>
      <c r="P53" s="72">
        <f>+F53-K53-L53-N53-M53</f>
        <v>1.9099388737231493E-11</v>
      </c>
    </row>
    <row r="54" spans="1:16" s="21" customFormat="1" ht="19.5" thickTop="1" thickBot="1" x14ac:dyDescent="0.5">
      <c r="A54" s="155" t="str">
        <f>IF(D54=0," ",(LARGE(A$18:A53,1)+1))</f>
        <v xml:space="preserve"> </v>
      </c>
      <c r="B54" s="162"/>
      <c r="C54" s="157"/>
      <c r="D54" s="63"/>
      <c r="E54" s="65"/>
      <c r="F54" s="201"/>
      <c r="G54" s="66"/>
      <c r="H54" s="65"/>
      <c r="I54" s="65"/>
      <c r="J54" s="67" t="str">
        <f>IF(D54=0," ",(G54+H54)*(Details!$C$4+Details!$C$6))</f>
        <v xml:space="preserve"> </v>
      </c>
      <c r="K54" s="227"/>
      <c r="L54" s="227"/>
      <c r="M54" s="227"/>
      <c r="N54" s="187"/>
      <c r="P54" s="55"/>
    </row>
  </sheetData>
  <mergeCells count="2">
    <mergeCell ref="G5:J5"/>
    <mergeCell ref="K5:N5"/>
  </mergeCells>
  <conditionalFormatting sqref="G8:G10549">
    <cfRule type="notContainsBlanks" dxfId="99" priority="3">
      <formula>LEN(TRIM(G8))&gt;0</formula>
    </cfRule>
  </conditionalFormatting>
  <conditionalFormatting sqref="H11:H51">
    <cfRule type="notContainsBlanks" dxfId="98" priority="1">
      <formula>LEN(TRIM(H11))&gt;0</formula>
    </cfRule>
  </conditionalFormatting>
  <conditionalFormatting sqref="H8:I10">
    <cfRule type="notContainsBlanks" dxfId="97" priority="2">
      <formula>LEN(TRIM(H8))&gt;0</formula>
    </cfRule>
  </conditionalFormatting>
  <conditionalFormatting sqref="H52:I10449">
    <cfRule type="notContainsBlanks" dxfId="96" priority="83">
      <formula>LEN(TRIM(H52))&gt;0</formula>
    </cfRule>
  </conditionalFormatting>
  <conditionalFormatting sqref="P53">
    <cfRule type="cellIs" dxfId="95" priority="87" operator="equal">
      <formula>0</formula>
    </cfRule>
    <cfRule type="cellIs" dxfId="94" priority="8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AO32"/>
  <sheetViews>
    <sheetView zoomScale="70" zoomScaleNormal="70" workbookViewId="0">
      <selection activeCell="G21" sqref="G21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20" customWidth="1"/>
    <col min="15" max="15" width="10.453125" style="16" bestFit="1" customWidth="1"/>
    <col min="16" max="25" width="9.08984375" style="16"/>
    <col min="26" max="41" width="9.08984375" style="16" hidden="1" customWidth="1"/>
    <col min="42" max="16384" width="9.08984375" style="16"/>
  </cols>
  <sheetData>
    <row r="1" spans="1:40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40" x14ac:dyDescent="0.35">
      <c r="A2" s="15"/>
      <c r="B2" s="3" t="str">
        <f>+'Qual, Excl &amp; Assum'!B2</f>
        <v>PROJECT NAME: SQUAIRRELS LEAP GUILDFORD ROAD, CHERTSEY KT16 9RU</v>
      </c>
      <c r="F2" s="35"/>
    </row>
    <row r="3" spans="1:40" x14ac:dyDescent="0.35">
      <c r="A3" s="15"/>
      <c r="B3" s="53" t="str">
        <f>+'Qual, Excl &amp; Assum'!B3</f>
        <v>DATE: 25TH NOVEMBER 2025</v>
      </c>
      <c r="F3" s="35"/>
    </row>
    <row r="4" spans="1:40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40" s="21" customFormat="1" ht="38.25" customHeight="1" thickBot="1" x14ac:dyDescent="0.4">
      <c r="A5" s="206"/>
      <c r="B5" s="207" t="s">
        <v>96</v>
      </c>
      <c r="C5" s="208"/>
      <c r="D5" s="209"/>
      <c r="E5" s="210"/>
      <c r="F5" s="216"/>
      <c r="G5" s="359" t="s">
        <v>121</v>
      </c>
      <c r="H5" s="360"/>
      <c r="I5" s="360"/>
      <c r="J5" s="361"/>
      <c r="K5" s="359" t="s">
        <v>122</v>
      </c>
      <c r="L5" s="360"/>
      <c r="M5" s="360"/>
      <c r="N5" s="361"/>
    </row>
    <row r="6" spans="1:40" s="21" customFormat="1" ht="18.5" x14ac:dyDescent="0.45">
      <c r="A6" s="49"/>
      <c r="B6" s="38"/>
      <c r="C6" s="144"/>
      <c r="D6" s="38"/>
      <c r="E6" s="64"/>
      <c r="F6" s="197"/>
      <c r="G6" s="251"/>
      <c r="H6" s="64"/>
      <c r="I6" s="64"/>
      <c r="J6" s="202"/>
      <c r="K6" s="214"/>
      <c r="L6" s="20"/>
      <c r="M6" s="20"/>
      <c r="N6" s="35"/>
    </row>
    <row r="7" spans="1:40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40" s="21" customFormat="1" ht="18.5" x14ac:dyDescent="0.45">
      <c r="A8" s="75" t="str">
        <f>IF(F8&lt;&gt;"",(LARGE(A$7:A7,1)+1),"")</f>
        <v/>
      </c>
      <c r="B8" s="151"/>
      <c r="C8" s="152"/>
      <c r="D8" s="51"/>
      <c r="E8" s="48"/>
      <c r="F8" s="199"/>
      <c r="G8" s="59"/>
      <c r="H8" s="48"/>
      <c r="I8" s="48"/>
      <c r="J8" s="199" t="str">
        <f>IF(D8=0," ",(G8+H8)*(Details!$C$4))</f>
        <v xml:space="preserve"> </v>
      </c>
      <c r="K8" s="214"/>
      <c r="L8" s="20"/>
      <c r="M8" s="20"/>
      <c r="N8" s="199" t="str">
        <f t="shared" ref="N8" si="0">IF(D8=0," ",(J8*C8))</f>
        <v xml:space="preserve"> </v>
      </c>
    </row>
    <row r="9" spans="1:40" s="21" customFormat="1" ht="18.5" x14ac:dyDescent="0.45">
      <c r="A9" s="75" t="str">
        <f>IF(F9&lt;&gt;"",(LARGE(A$7:A8,1)+1),"")</f>
        <v/>
      </c>
      <c r="B9" s="164" t="s">
        <v>56</v>
      </c>
      <c r="C9" s="147"/>
      <c r="D9" s="61"/>
      <c r="E9" s="62"/>
      <c r="F9" s="198"/>
      <c r="G9" s="59"/>
      <c r="H9" s="48"/>
      <c r="I9" s="48"/>
      <c r="J9" s="199"/>
      <c r="K9" s="214"/>
      <c r="L9" s="217"/>
      <c r="M9" s="217"/>
      <c r="N9" s="199"/>
      <c r="Z9" s="21" t="str">
        <f>IF(F9&lt;&gt;"",(LARGE(A$7:A8,1)+1),"")</f>
        <v/>
      </c>
      <c r="AA9" s="21" t="s">
        <v>56</v>
      </c>
    </row>
    <row r="10" spans="1:40" s="21" customFormat="1" ht="18.5" x14ac:dyDescent="0.45">
      <c r="A10" s="75"/>
      <c r="B10" s="164"/>
      <c r="C10" s="147"/>
      <c r="D10" s="61"/>
      <c r="E10" s="62"/>
      <c r="F10" s="198"/>
      <c r="G10" s="59"/>
      <c r="H10" s="48"/>
      <c r="I10" s="48"/>
      <c r="J10" s="199"/>
      <c r="K10" s="214"/>
      <c r="L10" s="217"/>
      <c r="M10" s="217"/>
      <c r="N10" s="199"/>
    </row>
    <row r="11" spans="1:40" s="21" customFormat="1" ht="18.5" x14ac:dyDescent="0.45">
      <c r="A11" s="75" t="str">
        <f>IF(F11&lt;&gt;"",(LARGE(A$7:A10,1)+1),"")</f>
        <v/>
      </c>
      <c r="B11" s="164" t="s">
        <v>391</v>
      </c>
      <c r="C11" s="144"/>
      <c r="D11" s="51"/>
      <c r="E11" s="48"/>
      <c r="F11" s="199"/>
      <c r="G11" s="59"/>
      <c r="H11" s="48"/>
      <c r="I11" s="48"/>
      <c r="J11" s="199"/>
      <c r="K11" s="15"/>
      <c r="L11" s="20"/>
      <c r="M11" s="20"/>
      <c r="N11" s="199"/>
      <c r="O11" s="16"/>
    </row>
    <row r="12" spans="1:40" s="21" customFormat="1" ht="18.5" x14ac:dyDescent="0.45">
      <c r="A12" s="75" t="str">
        <f>IF(F12&lt;&gt;"",(LARGE(A$7:A11,1)+1),"")</f>
        <v/>
      </c>
      <c r="B12" s="38"/>
      <c r="C12" s="144"/>
      <c r="D12" s="51"/>
      <c r="E12" s="48"/>
      <c r="F12" s="199"/>
      <c r="G12" s="59"/>
      <c r="H12" s="48"/>
      <c r="I12" s="48"/>
      <c r="J12" s="199"/>
      <c r="K12" s="15"/>
      <c r="L12" s="20"/>
      <c r="M12" s="20"/>
      <c r="N12" s="199"/>
      <c r="O12" s="16"/>
    </row>
    <row r="13" spans="1:40" s="21" customFormat="1" ht="18.5" x14ac:dyDescent="0.45">
      <c r="A13" s="75">
        <v>1</v>
      </c>
      <c r="B13" s="38" t="s">
        <v>231</v>
      </c>
      <c r="C13" s="144">
        <v>15.32</v>
      </c>
      <c r="D13" s="51" t="s">
        <v>13</v>
      </c>
      <c r="E13" s="48">
        <f>G13+H13+J13+I13</f>
        <v>115.40537500000001</v>
      </c>
      <c r="F13" s="199">
        <f>E13*C13</f>
        <v>1768.0103450000001</v>
      </c>
      <c r="G13" s="59">
        <v>31.852500000000003</v>
      </c>
      <c r="H13" s="48">
        <v>68.5</v>
      </c>
      <c r="I13" s="48">
        <f>IF(D13=0," ",(G13)*(Details!$C$4+Details!$C$8))</f>
        <v>4.7778750000000008</v>
      </c>
      <c r="J13" s="199">
        <f>IF(D13=0," ",(H13)*(Details!$C$6+Details!$C$8))</f>
        <v>10.275000000000002</v>
      </c>
      <c r="K13" s="59">
        <f>+G13*C13</f>
        <v>487.98030000000006</v>
      </c>
      <c r="L13" s="48">
        <f>+H13*C13</f>
        <v>1049.42</v>
      </c>
      <c r="M13" s="48">
        <f>IF(D13=0," ",(I13*C13))</f>
        <v>73.197045000000017</v>
      </c>
      <c r="N13" s="199">
        <f>IF(D13=0," ",(J13*C13))</f>
        <v>157.41300000000004</v>
      </c>
      <c r="O13" s="16"/>
      <c r="Z13" s="21">
        <v>1</v>
      </c>
      <c r="AC13" s="21" t="s">
        <v>13</v>
      </c>
      <c r="AD13" s="329">
        <f>G13+H13+J13+I13</f>
        <v>115.40537500000001</v>
      </c>
      <c r="AE13" s="329">
        <f>E13*C13</f>
        <v>1768.0103450000001</v>
      </c>
      <c r="AF13" s="329">
        <f>O13*1.75*Details!$M$36</f>
        <v>0</v>
      </c>
      <c r="AG13" s="329">
        <f>O13*3+500/1000*O13*C13</f>
        <v>0</v>
      </c>
      <c r="AH13" s="329">
        <f>IF(D13=0," ",(G13)*(Details!$C$4+Details!$C$8))</f>
        <v>4.7778750000000008</v>
      </c>
      <c r="AI13" s="329">
        <f>IF(D13=0," ",(H13)*(Details!$C$6+Details!$C$8))</f>
        <v>10.275000000000002</v>
      </c>
      <c r="AJ13" s="329">
        <f>+G13*C13</f>
        <v>487.98030000000006</v>
      </c>
      <c r="AK13" s="329">
        <f>+H13*C13</f>
        <v>1049.42</v>
      </c>
      <c r="AL13" s="329">
        <f>IF(D13=0," ",(I13*C13))</f>
        <v>73.197045000000017</v>
      </c>
      <c r="AM13" s="329">
        <f>IF(D13=0," ",(J13*C13))</f>
        <v>157.41300000000004</v>
      </c>
      <c r="AN13" s="21">
        <v>0</v>
      </c>
    </row>
    <row r="14" spans="1:40" s="21" customFormat="1" ht="18.5" x14ac:dyDescent="0.45">
      <c r="A14" s="75"/>
      <c r="B14" s="38"/>
      <c r="C14" s="144"/>
      <c r="D14" s="51"/>
      <c r="E14" s="48"/>
      <c r="F14" s="199"/>
      <c r="G14" s="59"/>
      <c r="H14" s="48"/>
      <c r="I14" s="48"/>
      <c r="J14" s="199"/>
      <c r="K14" s="59"/>
      <c r="L14" s="48"/>
      <c r="M14" s="48"/>
      <c r="N14" s="199"/>
      <c r="O14" s="16"/>
      <c r="AD14" s="329"/>
      <c r="AE14" s="329"/>
      <c r="AF14" s="329"/>
      <c r="AG14" s="329"/>
      <c r="AH14" s="329"/>
      <c r="AI14" s="329"/>
      <c r="AJ14" s="329"/>
      <c r="AK14" s="329"/>
      <c r="AL14" s="329"/>
      <c r="AM14" s="329"/>
    </row>
    <row r="15" spans="1:40" s="21" customFormat="1" ht="18.5" x14ac:dyDescent="0.45">
      <c r="A15" s="75">
        <f>IF(F15&lt;&gt;"",(LARGE(A$7:A13,1)+1),"")</f>
        <v>2</v>
      </c>
      <c r="B15" s="38" t="s">
        <v>232</v>
      </c>
      <c r="C15" s="144">
        <v>11.6655</v>
      </c>
      <c r="D15" s="51" t="s">
        <v>13</v>
      </c>
      <c r="E15" s="48">
        <f>G15+H15+J15+I15</f>
        <v>91.818875000000006</v>
      </c>
      <c r="F15" s="199">
        <f>E15*C15</f>
        <v>1071.1130863124999</v>
      </c>
      <c r="G15" s="59">
        <v>25.342500000000001</v>
      </c>
      <c r="H15" s="48">
        <v>54.5</v>
      </c>
      <c r="I15" s="48">
        <f>IF(D15=0," ",(G15)*(Details!$C$4+Details!$C$8))</f>
        <v>3.8013750000000006</v>
      </c>
      <c r="J15" s="199">
        <f>IF(D15=0," ",(H15)*(Details!$C$6+Details!$C$8))</f>
        <v>8.1750000000000007</v>
      </c>
      <c r="K15" s="59">
        <f>+G15*C15</f>
        <v>295.63293375000001</v>
      </c>
      <c r="L15" s="48">
        <f>+H15*C15</f>
        <v>635.76974999999993</v>
      </c>
      <c r="M15" s="48">
        <f>IF(D15=0," ",(I15*C15))</f>
        <v>44.344940062500008</v>
      </c>
      <c r="N15" s="199">
        <f>IF(D15=0," ",(J15*C15))</f>
        <v>95.365462500000007</v>
      </c>
      <c r="O15" s="16"/>
    </row>
    <row r="16" spans="1:40" s="21" customFormat="1" ht="18.5" x14ac:dyDescent="0.45">
      <c r="A16" s="75"/>
      <c r="B16" s="38"/>
      <c r="C16" s="144"/>
      <c r="D16" s="51"/>
      <c r="E16" s="48"/>
      <c r="F16" s="199"/>
      <c r="G16" s="59"/>
      <c r="H16" s="48"/>
      <c r="I16" s="48"/>
      <c r="J16" s="199"/>
      <c r="K16" s="59"/>
      <c r="L16" s="48"/>
      <c r="M16" s="48"/>
      <c r="N16" s="199"/>
      <c r="O16" s="16"/>
    </row>
    <row r="17" spans="1:16" s="21" customFormat="1" ht="18.5" x14ac:dyDescent="0.45">
      <c r="A17" s="75">
        <f>IF(F17&lt;&gt;"",(LARGE(A$7:A15,1)+1),"")</f>
        <v>3</v>
      </c>
      <c r="B17" s="38" t="s">
        <v>233</v>
      </c>
      <c r="C17" s="144">
        <v>81.61</v>
      </c>
      <c r="D17" s="51" t="s">
        <v>13</v>
      </c>
      <c r="E17" s="48">
        <f>G17+H17+J17+I17</f>
        <v>91.818875000000006</v>
      </c>
      <c r="F17" s="199">
        <f>E17*C17</f>
        <v>7493.3383887500004</v>
      </c>
      <c r="G17" s="59">
        <v>25.342500000000001</v>
      </c>
      <c r="H17" s="48">
        <v>54.5</v>
      </c>
      <c r="I17" s="48">
        <f>IF(D17=0," ",(G17)*(Details!$C$4+Details!$C$8))</f>
        <v>3.8013750000000006</v>
      </c>
      <c r="J17" s="199">
        <f>IF(D17=0," ",(H17)*(Details!$C$6+Details!$C$8))</f>
        <v>8.1750000000000007</v>
      </c>
      <c r="K17" s="59">
        <f>+G17*C17</f>
        <v>2068.2014250000002</v>
      </c>
      <c r="L17" s="48">
        <f>+H17*C17</f>
        <v>4447.7449999999999</v>
      </c>
      <c r="M17" s="48">
        <f>IF(D17=0," ",(I17*C17))</f>
        <v>310.23021375000008</v>
      </c>
      <c r="N17" s="199">
        <f>IF(D17=0," ",(J17*C17))</f>
        <v>667.1617500000001</v>
      </c>
      <c r="O17" s="16"/>
    </row>
    <row r="18" spans="1:16" s="21" customFormat="1" ht="18.5" x14ac:dyDescent="0.45">
      <c r="A18" s="75"/>
      <c r="B18" s="38"/>
      <c r="C18" s="144"/>
      <c r="D18" s="51"/>
      <c r="E18" s="48"/>
      <c r="F18" s="199"/>
      <c r="G18" s="59"/>
      <c r="H18" s="48"/>
      <c r="I18" s="48"/>
      <c r="J18" s="199"/>
      <c r="K18" s="59"/>
      <c r="L18" s="48"/>
      <c r="M18" s="48"/>
      <c r="N18" s="199"/>
      <c r="O18" s="16"/>
    </row>
    <row r="19" spans="1:16" s="21" customFormat="1" ht="18.5" x14ac:dyDescent="0.45">
      <c r="A19" s="75">
        <f>IF(F19&lt;&gt;"",(LARGE(A$7:A17,1)+1),"")</f>
        <v>4</v>
      </c>
      <c r="B19" s="38" t="s">
        <v>234</v>
      </c>
      <c r="C19" s="144">
        <v>36.04</v>
      </c>
      <c r="D19" s="51" t="s">
        <v>13</v>
      </c>
      <c r="E19" s="48">
        <f>G19+H19+J19+I19</f>
        <v>122.14437500000001</v>
      </c>
      <c r="F19" s="199">
        <f>E19*C19</f>
        <v>4402.083275</v>
      </c>
      <c r="G19" s="59">
        <v>33.712499999999999</v>
      </c>
      <c r="H19" s="48">
        <v>72.5</v>
      </c>
      <c r="I19" s="48">
        <f>IF(D19=0," ",(G19)*(Details!$C$4+Details!$C$8))</f>
        <v>5.0568750000000007</v>
      </c>
      <c r="J19" s="199">
        <f>IF(D19=0," ",(H19)*(Details!$C$6+Details!$C$8))</f>
        <v>10.875000000000002</v>
      </c>
      <c r="K19" s="59">
        <f>+G19*C19</f>
        <v>1214.9984999999999</v>
      </c>
      <c r="L19" s="48">
        <f>+H19*C19</f>
        <v>2612.9</v>
      </c>
      <c r="M19" s="48">
        <f>IF(D19=0," ",(I19*C19))</f>
        <v>182.24977500000003</v>
      </c>
      <c r="N19" s="199">
        <f>IF(D19=0," ",(J19*C19))</f>
        <v>391.93500000000006</v>
      </c>
      <c r="O19" s="16"/>
    </row>
    <row r="20" spans="1:16" s="21" customFormat="1" ht="18.5" x14ac:dyDescent="0.45">
      <c r="A20" s="75"/>
      <c r="B20" s="38"/>
      <c r="C20" s="144"/>
      <c r="D20" s="51"/>
      <c r="E20" s="48"/>
      <c r="F20" s="199"/>
      <c r="G20" s="59"/>
      <c r="H20" s="48"/>
      <c r="I20" s="48"/>
      <c r="J20" s="199"/>
      <c r="K20" s="59"/>
      <c r="L20" s="48"/>
      <c r="M20" s="48"/>
      <c r="N20" s="199"/>
      <c r="O20" s="16"/>
    </row>
    <row r="21" spans="1:16" s="21" customFormat="1" ht="18.5" x14ac:dyDescent="0.45">
      <c r="A21" s="75">
        <f>IF(F21&lt;&gt;"",(LARGE(A$7:A19,1)+1),"")</f>
        <v>5</v>
      </c>
      <c r="B21" s="38" t="s">
        <v>235</v>
      </c>
      <c r="C21" s="144">
        <v>14.82</v>
      </c>
      <c r="D21" s="51" t="s">
        <v>13</v>
      </c>
      <c r="E21" s="48">
        <f>G21+H21+J21+I21</f>
        <v>122.14437500000001</v>
      </c>
      <c r="F21" s="199">
        <f>E21*C21</f>
        <v>1810.1796375000001</v>
      </c>
      <c r="G21" s="59">
        <v>33.712499999999999</v>
      </c>
      <c r="H21" s="48">
        <v>72.5</v>
      </c>
      <c r="I21" s="48">
        <f>IF(D21=0," ",(G21)*(Details!$C$4+Details!$C$8))</f>
        <v>5.0568750000000007</v>
      </c>
      <c r="J21" s="199">
        <f>IF(D21=0," ",(H21)*(Details!$C$6+Details!$C$8))</f>
        <v>10.875000000000002</v>
      </c>
      <c r="K21" s="59">
        <f>+G21*C21</f>
        <v>499.61924999999997</v>
      </c>
      <c r="L21" s="48">
        <f>+H21*C21</f>
        <v>1074.45</v>
      </c>
      <c r="M21" s="48">
        <f>IF(D21=0," ",(I21*C21))</f>
        <v>74.942887500000012</v>
      </c>
      <c r="N21" s="199">
        <f>IF(D21=0," ",(J21*C21))</f>
        <v>161.16750000000002</v>
      </c>
      <c r="O21" s="16"/>
    </row>
    <row r="22" spans="1:16" s="21" customFormat="1" ht="18.5" x14ac:dyDescent="0.45">
      <c r="A22" s="75"/>
      <c r="B22" s="38"/>
      <c r="C22" s="144"/>
      <c r="D22" s="51"/>
      <c r="E22" s="48"/>
      <c r="F22" s="199"/>
      <c r="G22" s="59"/>
      <c r="H22" s="48"/>
      <c r="I22" s="48"/>
      <c r="J22" s="199"/>
      <c r="K22" s="59"/>
      <c r="L22" s="48"/>
      <c r="M22" s="48"/>
      <c r="N22" s="199"/>
      <c r="O22" s="16"/>
    </row>
    <row r="23" spans="1:16" s="21" customFormat="1" ht="18.5" x14ac:dyDescent="0.45">
      <c r="A23" s="75">
        <f>IF(F23&lt;&gt;"",(LARGE(A$7:A21,1)+1),"")</f>
        <v>6</v>
      </c>
      <c r="B23" s="38" t="s">
        <v>236</v>
      </c>
      <c r="C23" s="144">
        <v>14.83</v>
      </c>
      <c r="D23" s="51" t="s">
        <v>13</v>
      </c>
      <c r="E23" s="48">
        <f>G23+H23+J23+I23</f>
        <v>128.883375</v>
      </c>
      <c r="F23" s="199">
        <f>E23*C23</f>
        <v>1911.3404512500001</v>
      </c>
      <c r="G23" s="59">
        <v>35.572500000000005</v>
      </c>
      <c r="H23" s="48">
        <v>76.5</v>
      </c>
      <c r="I23" s="48">
        <f>IF(D23=0," ",(G23)*(Details!$C$4+Details!$C$8))</f>
        <v>5.3358750000000015</v>
      </c>
      <c r="J23" s="199">
        <f>IF(D23=0," ",(H23)*(Details!$C$6+Details!$C$8))</f>
        <v>11.475000000000001</v>
      </c>
      <c r="K23" s="59">
        <f>+G23*C23</f>
        <v>527.54017500000009</v>
      </c>
      <c r="L23" s="48">
        <f>+H23*C23</f>
        <v>1134.4950000000001</v>
      </c>
      <c r="M23" s="48">
        <f>IF(D23=0," ",(I23*C23))</f>
        <v>79.131026250000019</v>
      </c>
      <c r="N23" s="199">
        <f>IF(D23=0," ",(J23*C23))</f>
        <v>170.17425000000003</v>
      </c>
      <c r="O23" s="16"/>
    </row>
    <row r="24" spans="1:16" s="21" customFormat="1" ht="18.5" x14ac:dyDescent="0.45">
      <c r="A24" s="75"/>
      <c r="B24" s="38"/>
      <c r="C24" s="144"/>
      <c r="D24" s="51"/>
      <c r="E24" s="48"/>
      <c r="F24" s="199"/>
      <c r="G24" s="59"/>
      <c r="H24" s="48"/>
      <c r="I24" s="48"/>
      <c r="J24" s="199"/>
      <c r="K24" s="59"/>
      <c r="L24" s="48"/>
      <c r="M24" s="48"/>
      <c r="N24" s="199"/>
      <c r="O24" s="16"/>
    </row>
    <row r="25" spans="1:16" s="21" customFormat="1" ht="18.5" x14ac:dyDescent="0.45">
      <c r="A25" s="75">
        <f>IF(F25&lt;&gt;"",(LARGE(A$7:A23,1)+1),"")</f>
        <v>7</v>
      </c>
      <c r="B25" s="38" t="s">
        <v>237</v>
      </c>
      <c r="C25" s="144">
        <v>14.81</v>
      </c>
      <c r="D25" s="51" t="s">
        <v>13</v>
      </c>
      <c r="E25" s="48">
        <f>G25+H25+J25+I25</f>
        <v>137.30712500000001</v>
      </c>
      <c r="F25" s="199">
        <f>E25*C25</f>
        <v>2033.5185212500003</v>
      </c>
      <c r="G25" s="59">
        <v>37.897500000000001</v>
      </c>
      <c r="H25" s="48">
        <v>81.5</v>
      </c>
      <c r="I25" s="48">
        <f>IF(D25=0," ",(G25)*(Details!$C$4+Details!$C$8))</f>
        <v>5.6846250000000014</v>
      </c>
      <c r="J25" s="199">
        <f>IF(D25=0," ",(H25)*(Details!$C$6+Details!$C$8))</f>
        <v>12.225000000000001</v>
      </c>
      <c r="K25" s="59">
        <f>+G25*C25</f>
        <v>561.26197500000001</v>
      </c>
      <c r="L25" s="48">
        <f>+H25*C25</f>
        <v>1207.0150000000001</v>
      </c>
      <c r="M25" s="48">
        <f>IF(D25=0," ",(I25*C25))</f>
        <v>84.189296250000027</v>
      </c>
      <c r="N25" s="199">
        <f>IF(D25=0," ",(J25*C25))</f>
        <v>181.05225000000002</v>
      </c>
      <c r="O25" s="16"/>
    </row>
    <row r="26" spans="1:16" s="21" customFormat="1" ht="18.5" x14ac:dyDescent="0.45">
      <c r="A26" s="75" t="str">
        <f>IF(F26&lt;&gt;"",(LARGE(A$7:A25,1)+1),"")</f>
        <v/>
      </c>
      <c r="B26" s="38"/>
      <c r="C26" s="144"/>
      <c r="D26" s="51"/>
      <c r="E26" s="48"/>
      <c r="F26" s="199"/>
      <c r="G26" s="59"/>
      <c r="H26" s="48"/>
      <c r="I26" s="48"/>
      <c r="J26" s="199"/>
      <c r="K26" s="15"/>
      <c r="L26" s="20"/>
      <c r="M26" s="20"/>
      <c r="N26" s="199"/>
      <c r="O26" s="16"/>
    </row>
    <row r="27" spans="1:16" s="21" customFormat="1" ht="18.5" x14ac:dyDescent="0.45">
      <c r="A27" s="75" t="str">
        <f>IF(F27&lt;&gt;"",(LARGE(A$7:A26,1)+1),"")</f>
        <v/>
      </c>
      <c r="B27" s="164" t="s">
        <v>392</v>
      </c>
      <c r="C27" s="144"/>
      <c r="D27" s="51"/>
      <c r="E27" s="48"/>
      <c r="F27" s="199"/>
      <c r="G27" s="59"/>
      <c r="H27" s="48"/>
      <c r="I27" s="48"/>
      <c r="J27" s="199"/>
      <c r="K27" s="15"/>
      <c r="L27" s="20"/>
      <c r="M27" s="20"/>
      <c r="N27" s="199"/>
      <c r="O27" s="16"/>
    </row>
    <row r="28" spans="1:16" s="21" customFormat="1" ht="18.5" x14ac:dyDescent="0.45">
      <c r="A28" s="75" t="str">
        <f>IF(F28&lt;&gt;"",(LARGE(A$7:A27,1)+1),"")</f>
        <v/>
      </c>
      <c r="B28" s="38"/>
      <c r="C28" s="144"/>
      <c r="D28" s="51"/>
      <c r="E28" s="48"/>
      <c r="F28" s="199"/>
      <c r="G28" s="59"/>
      <c r="H28" s="48"/>
      <c r="I28" s="48"/>
      <c r="J28" s="199"/>
      <c r="K28" s="15"/>
      <c r="L28" s="20"/>
      <c r="M28" s="20"/>
      <c r="N28" s="199"/>
      <c r="O28" s="16"/>
    </row>
    <row r="29" spans="1:16" s="21" customFormat="1" ht="18.5" x14ac:dyDescent="0.45">
      <c r="A29" s="75">
        <f>IF(F29&lt;&gt;"",(LARGE(A$7:A28,1)+1),"")</f>
        <v>8</v>
      </c>
      <c r="B29" s="38" t="s">
        <v>404</v>
      </c>
      <c r="C29" s="144">
        <v>51.2</v>
      </c>
      <c r="D29" s="51" t="s">
        <v>13</v>
      </c>
      <c r="E29" s="48">
        <f>G29+H29+J29+I29</f>
        <v>194.08320000000001</v>
      </c>
      <c r="F29" s="199">
        <f>E29*C29</f>
        <v>9937.0598400000017</v>
      </c>
      <c r="G29" s="59">
        <v>53.568000000000005</v>
      </c>
      <c r="H29" s="48">
        <v>115.2</v>
      </c>
      <c r="I29" s="48">
        <f>IF(D29=0," ",(G29)*(Details!$C$4+Details!$C$8))</f>
        <v>8.0352000000000015</v>
      </c>
      <c r="J29" s="199">
        <f>IF(D29=0," ",(H29)*(Details!$C$6+Details!$C$8))</f>
        <v>17.280000000000005</v>
      </c>
      <c r="K29" s="59">
        <f>+G29*C29</f>
        <v>2742.6816000000003</v>
      </c>
      <c r="L29" s="48">
        <f>+H29*C29</f>
        <v>5898.2400000000007</v>
      </c>
      <c r="M29" s="48">
        <f>IF(D29=0," ",(I29*C29))</f>
        <v>411.40224000000012</v>
      </c>
      <c r="N29" s="199">
        <f>IF(D29=0," ",(J29*C29))</f>
        <v>884.73600000000033</v>
      </c>
      <c r="O29" s="16"/>
    </row>
    <row r="30" spans="1:16" s="21" customFormat="1" ht="18.5" x14ac:dyDescent="0.45">
      <c r="A30" s="75" t="str">
        <f>IF(F30&lt;&gt;"",(LARGE(A$7:A29,1)+1),"")</f>
        <v/>
      </c>
      <c r="B30" s="151"/>
      <c r="C30" s="144"/>
      <c r="D30" s="51"/>
      <c r="E30" s="48"/>
      <c r="F30" s="199"/>
      <c r="G30" s="59"/>
      <c r="H30" s="48"/>
      <c r="I30" s="48"/>
      <c r="J30" s="199"/>
      <c r="K30" s="214"/>
      <c r="L30" s="20"/>
      <c r="M30" s="20"/>
      <c r="N30" s="199"/>
      <c r="P30" s="72" t="s">
        <v>125</v>
      </c>
    </row>
    <row r="31" spans="1:16" s="21" customFormat="1" ht="19" thickBot="1" x14ac:dyDescent="0.5">
      <c r="A31" s="49"/>
      <c r="B31" s="160"/>
      <c r="C31" s="144"/>
      <c r="D31" s="60"/>
      <c r="E31" s="62" t="s">
        <v>97</v>
      </c>
      <c r="F31" s="200">
        <f>SUM(F8:F30)</f>
        <v>30426.643545062507</v>
      </c>
      <c r="G31" s="59"/>
      <c r="H31" s="48"/>
      <c r="I31" s="48"/>
      <c r="J31" s="199" t="str">
        <f>IF(D31=0," ",(G31+H31)*(Details!$C$4+Details!$C$6))</f>
        <v xml:space="preserve"> </v>
      </c>
      <c r="K31" s="200">
        <f t="shared" ref="K31:N31" si="1">SUM(K8:K30)</f>
        <v>8397.9161587500002</v>
      </c>
      <c r="L31" s="200">
        <f t="shared" si="1"/>
        <v>18060.034750000003</v>
      </c>
      <c r="M31" s="200">
        <f t="shared" si="1"/>
        <v>1259.6874238125001</v>
      </c>
      <c r="N31" s="200">
        <f t="shared" si="1"/>
        <v>2709.0052125000002</v>
      </c>
      <c r="P31" s="72">
        <f>+F31-K31-L31-N31-M31</f>
        <v>5.4569682106375694E-12</v>
      </c>
    </row>
    <row r="32" spans="1:16" s="21" customFormat="1" ht="19.5" thickTop="1" thickBot="1" x14ac:dyDescent="0.5">
      <c r="A32" s="155" t="str">
        <f>IF(D32=0," ",(LARGE(A$8:A31,1)+1))</f>
        <v xml:space="preserve"> </v>
      </c>
      <c r="B32" s="162"/>
      <c r="C32" s="157"/>
      <c r="D32" s="63"/>
      <c r="E32" s="65"/>
      <c r="F32" s="201"/>
      <c r="G32" s="66"/>
      <c r="H32" s="65"/>
      <c r="I32" s="65"/>
      <c r="J32" s="67" t="str">
        <f>IF(D32=0," ",(G32+H32)*(Details!$C$4+Details!$C$6))</f>
        <v xml:space="preserve"> </v>
      </c>
      <c r="K32" s="227"/>
      <c r="L32" s="227"/>
      <c r="M32" s="227"/>
      <c r="N32" s="187"/>
      <c r="P32" s="55"/>
    </row>
  </sheetData>
  <mergeCells count="2">
    <mergeCell ref="G5:J5"/>
    <mergeCell ref="K5:N5"/>
  </mergeCells>
  <conditionalFormatting sqref="G8:G10527">
    <cfRule type="notContainsBlanks" dxfId="93" priority="1">
      <formula>LEN(TRIM(G8))&gt;0</formula>
    </cfRule>
  </conditionalFormatting>
  <conditionalFormatting sqref="H13:H25">
    <cfRule type="notContainsBlanks" dxfId="92" priority="64">
      <formula>LEN(TRIM(H13))&gt;0</formula>
    </cfRule>
  </conditionalFormatting>
  <conditionalFormatting sqref="H29">
    <cfRule type="notContainsBlanks" dxfId="91" priority="30">
      <formula>LEN(TRIM(H29))&gt;0</formula>
    </cfRule>
  </conditionalFormatting>
  <conditionalFormatting sqref="H8:I12 H26:I28 H30:I10427">
    <cfRule type="notContainsBlanks" dxfId="90" priority="81">
      <formula>LEN(TRIM(H8))&gt;0</formula>
    </cfRule>
  </conditionalFormatting>
  <conditionalFormatting sqref="P31">
    <cfRule type="cellIs" dxfId="89" priority="77" operator="equal">
      <formula>0</formula>
    </cfRule>
    <cfRule type="cellIs" dxfId="88" priority="7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SteelworkToggleButton">
              <controlPr defaultSize="0" print="0" autoFill="0" autoPict="0" macro="[0]!ToggleSteelwork">
                <anchor moveWithCells="1">
                  <from>
                    <xdr:col>3</xdr:col>
                    <xdr:colOff>406400</xdr:colOff>
                    <xdr:row>1</xdr:row>
                    <xdr:rowOff>38100</xdr:rowOff>
                  </from>
                  <to>
                    <xdr:col>5</xdr:col>
                    <xdr:colOff>952500</xdr:colOff>
                    <xdr:row>3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P44"/>
  <sheetViews>
    <sheetView zoomScale="55" zoomScaleNormal="55" workbookViewId="0">
      <selection activeCell="N44" sqref="N4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20" customWidth="1"/>
    <col min="15" max="15" width="10.453125" style="16" bestFit="1" customWidth="1"/>
    <col min="16" max="16384" width="9.08984375" style="16"/>
  </cols>
  <sheetData>
    <row r="1" spans="1:14" x14ac:dyDescent="0.35">
      <c r="A1" s="29"/>
      <c r="B1" s="23"/>
      <c r="C1" s="31"/>
      <c r="D1" s="24"/>
      <c r="E1" s="33"/>
      <c r="F1" s="34"/>
      <c r="G1" s="82"/>
      <c r="H1" s="82"/>
      <c r="I1" s="82"/>
      <c r="J1" s="24"/>
    </row>
    <row r="2" spans="1:14" x14ac:dyDescent="0.35">
      <c r="A2" s="15"/>
      <c r="B2" s="3" t="str">
        <f>+'Qual, Excl &amp; Assum'!B2</f>
        <v>PROJECT NAME: SQUAIRRELS LEAP GUILDFORD ROAD, CHERTSEY KT16 9RU</v>
      </c>
      <c r="F2" s="35"/>
      <c r="G2" s="72"/>
      <c r="H2" s="72"/>
      <c r="I2" s="72"/>
    </row>
    <row r="3" spans="1:14" x14ac:dyDescent="0.35">
      <c r="A3" s="15"/>
      <c r="B3" s="53" t="str">
        <f>+'Qual, Excl &amp; Assum'!B3</f>
        <v>DATE: 25TH NOVEMBER 2025</v>
      </c>
      <c r="F3" s="35"/>
      <c r="G3" s="72"/>
      <c r="H3" s="72"/>
      <c r="I3" s="72"/>
    </row>
    <row r="4" spans="1:14" s="21" customFormat="1" ht="16" thickBot="1" x14ac:dyDescent="0.4">
      <c r="A4" s="15"/>
      <c r="B4" s="22"/>
      <c r="C4" s="32"/>
      <c r="E4" s="36"/>
      <c r="F4" s="37"/>
      <c r="G4" s="83"/>
      <c r="H4" s="83"/>
      <c r="I4" s="83"/>
      <c r="K4" s="20"/>
      <c r="L4" s="20"/>
      <c r="M4" s="20"/>
      <c r="N4" s="20"/>
    </row>
    <row r="5" spans="1:14" s="21" customFormat="1" ht="37.5" customHeight="1" thickBot="1" x14ac:dyDescent="0.4">
      <c r="A5" s="206"/>
      <c r="B5" s="207" t="s">
        <v>46</v>
      </c>
      <c r="C5" s="208"/>
      <c r="D5" s="209"/>
      <c r="E5" s="210"/>
      <c r="F5" s="216"/>
      <c r="G5" s="360" t="s">
        <v>121</v>
      </c>
      <c r="H5" s="360"/>
      <c r="I5" s="360"/>
      <c r="J5" s="361"/>
      <c r="K5" s="359" t="s">
        <v>122</v>
      </c>
      <c r="L5" s="360"/>
      <c r="M5" s="360"/>
      <c r="N5" s="361"/>
    </row>
    <row r="6" spans="1:14" s="21" customFormat="1" ht="18.5" x14ac:dyDescent="0.45">
      <c r="A6" s="49"/>
      <c r="B6" s="38"/>
      <c r="C6" s="144"/>
      <c r="D6" s="38"/>
      <c r="E6" s="64"/>
      <c r="F6" s="197"/>
      <c r="G6" s="253"/>
      <c r="H6" s="253"/>
      <c r="I6" s="253"/>
      <c r="J6" s="202"/>
      <c r="K6" s="214"/>
      <c r="L6" s="20"/>
      <c r="M6" s="20"/>
      <c r="N6" s="35"/>
    </row>
    <row r="7" spans="1:14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26</v>
      </c>
      <c r="H7" s="262" t="s">
        <v>27</v>
      </c>
      <c r="I7" s="262" t="s">
        <v>156</v>
      </c>
      <c r="J7" s="263" t="s">
        <v>157</v>
      </c>
      <c r="K7" s="262" t="s">
        <v>26</v>
      </c>
      <c r="L7" s="262" t="s">
        <v>27</v>
      </c>
      <c r="M7" s="262" t="s">
        <v>156</v>
      </c>
      <c r="N7" s="263" t="s">
        <v>157</v>
      </c>
    </row>
    <row r="8" spans="1:14" s="21" customFormat="1" ht="18.5" x14ac:dyDescent="0.45">
      <c r="A8" s="49"/>
      <c r="B8" s="158"/>
      <c r="C8" s="147"/>
      <c r="D8" s="61"/>
      <c r="E8" s="62"/>
      <c r="F8" s="198"/>
      <c r="G8" s="59"/>
      <c r="H8" s="48"/>
      <c r="I8" s="48"/>
      <c r="J8" s="203"/>
      <c r="K8" s="214"/>
      <c r="L8" s="20"/>
      <c r="M8" s="20"/>
      <c r="N8" s="199" t="str">
        <f t="shared" ref="N8:N40" si="0">IF(D8=0," ",(J8*C8))</f>
        <v xml:space="preserve"> </v>
      </c>
    </row>
    <row r="9" spans="1:14" s="21" customFormat="1" ht="18.5" x14ac:dyDescent="0.45">
      <c r="A9" s="49"/>
      <c r="B9" s="164" t="s">
        <v>47</v>
      </c>
      <c r="C9" s="147"/>
      <c r="D9" s="61"/>
      <c r="E9" s="62"/>
      <c r="F9" s="198"/>
      <c r="G9" s="48"/>
      <c r="H9" s="48"/>
      <c r="I9" s="48"/>
      <c r="J9" s="203"/>
      <c r="K9" s="214"/>
      <c r="L9" s="20"/>
      <c r="M9" s="20"/>
      <c r="N9" s="199"/>
    </row>
    <row r="10" spans="1:14" s="21" customFormat="1" ht="18.5" x14ac:dyDescent="0.45">
      <c r="A10" s="49"/>
      <c r="B10" s="164"/>
      <c r="C10" s="147"/>
      <c r="D10" s="61"/>
      <c r="E10" s="62"/>
      <c r="F10" s="198"/>
      <c r="G10" s="59"/>
      <c r="H10" s="48"/>
      <c r="I10" s="48"/>
      <c r="J10" s="203"/>
      <c r="K10" s="214"/>
      <c r="L10" s="20"/>
      <c r="M10" s="20"/>
      <c r="N10" s="199"/>
    </row>
    <row r="11" spans="1:14" s="21" customFormat="1" ht="18.5" x14ac:dyDescent="0.45">
      <c r="A11" s="49">
        <v>1</v>
      </c>
      <c r="B11" s="38" t="s">
        <v>189</v>
      </c>
      <c r="C11" s="144">
        <v>239.42</v>
      </c>
      <c r="D11" s="51" t="s">
        <v>10</v>
      </c>
      <c r="E11" s="48">
        <f>G11+H11+J11+I11</f>
        <v>91.818875000000006</v>
      </c>
      <c r="F11" s="199">
        <f>E11*C11</f>
        <v>21983.275052500001</v>
      </c>
      <c r="G11" s="48">
        <v>25.342500000000001</v>
      </c>
      <c r="H11" s="48">
        <v>54.5</v>
      </c>
      <c r="I11" s="48">
        <f>IF(D11=0," ",(G11)*(Details!$C$4+Details!$C$8))</f>
        <v>3.8013750000000006</v>
      </c>
      <c r="J11" s="199">
        <f>IF(D11=0," ",(H11)*(Details!$C$6+Details!$C$8))</f>
        <v>8.1750000000000007</v>
      </c>
      <c r="K11" s="59">
        <f>+G11*C11</f>
        <v>6067.5013499999995</v>
      </c>
      <c r="L11" s="48">
        <f>+H11*C11</f>
        <v>13048.39</v>
      </c>
      <c r="M11" s="48">
        <f>IF(D11=0," ",(I11*C11))</f>
        <v>910.12520250000011</v>
      </c>
      <c r="N11" s="199">
        <f>IF(D11=0," ",(J11*C11))</f>
        <v>1957.2585000000001</v>
      </c>
    </row>
    <row r="12" spans="1:14" s="21" customFormat="1" ht="18.5" x14ac:dyDescent="0.45">
      <c r="A12" s="75" t="str">
        <f>IF(F12&lt;&gt;"",(LARGE(A$4:A11,1)+1),"")</f>
        <v/>
      </c>
      <c r="B12" s="151"/>
      <c r="C12" s="144"/>
      <c r="D12" s="51"/>
      <c r="E12" s="48"/>
      <c r="F12" s="199"/>
      <c r="G12" s="48"/>
      <c r="H12" s="48"/>
      <c r="I12" s="48"/>
      <c r="J12" s="199"/>
      <c r="K12" s="59"/>
      <c r="L12" s="48"/>
      <c r="M12" s="48"/>
      <c r="N12" s="199"/>
    </row>
    <row r="13" spans="1:14" s="21" customFormat="1" ht="18.5" x14ac:dyDescent="0.45">
      <c r="A13" s="75">
        <f>IF(F13&lt;&gt;"",(LARGE(A$4:A12,1)+1),"")</f>
        <v>2</v>
      </c>
      <c r="B13" s="151" t="s">
        <v>48</v>
      </c>
      <c r="C13" s="144">
        <v>239.42</v>
      </c>
      <c r="D13" s="51" t="s">
        <v>10</v>
      </c>
      <c r="E13" s="48">
        <f>G13+H13+J13+I13</f>
        <v>58.123874999999998</v>
      </c>
      <c r="F13" s="199">
        <f>E13*C13</f>
        <v>13916.018152499999</v>
      </c>
      <c r="G13" s="48">
        <v>16.0425</v>
      </c>
      <c r="H13" s="48">
        <v>34.5</v>
      </c>
      <c r="I13" s="48">
        <f>IF(D13=0," ",(G13)*(Details!$C$4+Details!$C$8))</f>
        <v>2.4063750000000006</v>
      </c>
      <c r="J13" s="199">
        <f>IF(D13=0," ",(H13)*(Details!$C$6+Details!$C$8))</f>
        <v>5.1750000000000007</v>
      </c>
      <c r="K13" s="59">
        <f>+G13*C13</f>
        <v>3840.8953499999998</v>
      </c>
      <c r="L13" s="48">
        <f>+H13*C13</f>
        <v>8259.99</v>
      </c>
      <c r="M13" s="48">
        <f>IF(D13=0," ",(I13*C13))</f>
        <v>576.1343025000001</v>
      </c>
      <c r="N13" s="199">
        <f>IF(D13=0," ",(J13*C13))</f>
        <v>1238.9985000000001</v>
      </c>
    </row>
    <row r="14" spans="1:14" s="21" customFormat="1" ht="18.5" x14ac:dyDescent="0.45">
      <c r="A14" s="75" t="str">
        <f>IF(F14&lt;&gt;"",(LARGE(A$4:A13,1)+1),"")</f>
        <v/>
      </c>
      <c r="B14" s="38"/>
      <c r="C14" s="144"/>
      <c r="D14" s="51"/>
      <c r="E14" s="48"/>
      <c r="F14" s="199"/>
      <c r="G14" s="48"/>
      <c r="H14" s="48"/>
      <c r="I14" s="48"/>
      <c r="J14" s="199"/>
      <c r="K14" s="214"/>
      <c r="L14" s="20"/>
      <c r="M14" s="20"/>
      <c r="N14" s="199"/>
    </row>
    <row r="15" spans="1:14" s="21" customFormat="1" ht="18.5" x14ac:dyDescent="0.45">
      <c r="A15" s="75">
        <f>IF(F15&lt;&gt;"",(LARGE(A$4:A14,1)+1),"")</f>
        <v>3</v>
      </c>
      <c r="B15" s="151" t="s">
        <v>191</v>
      </c>
      <c r="C15" s="144">
        <v>239.42</v>
      </c>
      <c r="D15" s="51" t="s">
        <v>10</v>
      </c>
      <c r="E15" s="48">
        <f>G15+H15+J15+I15</f>
        <v>27.798375</v>
      </c>
      <c r="F15" s="199">
        <f>E15*C15</f>
        <v>6655.4869424999997</v>
      </c>
      <c r="G15" s="48">
        <v>7.6725000000000003</v>
      </c>
      <c r="H15" s="48">
        <v>16.5</v>
      </c>
      <c r="I15" s="48">
        <f>IF(D15=0," ",(G15)*(Details!$C$4+Details!$C$8))</f>
        <v>1.1508750000000003</v>
      </c>
      <c r="J15" s="199">
        <f>IF(D15=0," ",(H15)*(Details!$C$6+Details!$C$8))</f>
        <v>2.4750000000000005</v>
      </c>
      <c r="K15" s="59">
        <f>+G15*C15</f>
        <v>1836.9499499999999</v>
      </c>
      <c r="L15" s="48">
        <f>+H15*C15</f>
        <v>3950.43</v>
      </c>
      <c r="M15" s="48">
        <f>IF(D15=0," ",(I15*C15))</f>
        <v>275.54249250000004</v>
      </c>
      <c r="N15" s="199">
        <f>IF(D15=0," ",(J15*C15))</f>
        <v>592.56450000000007</v>
      </c>
    </row>
    <row r="16" spans="1:14" s="21" customFormat="1" ht="18.5" x14ac:dyDescent="0.45">
      <c r="A16" s="75" t="str">
        <f>IF(F16&lt;&gt;"",(LARGE(A$4:A15,1)+1),"")</f>
        <v/>
      </c>
      <c r="B16" s="151"/>
      <c r="C16" s="144"/>
      <c r="D16" s="51"/>
      <c r="E16" s="48"/>
      <c r="F16" s="199"/>
      <c r="G16" s="48"/>
      <c r="H16" s="48"/>
      <c r="I16" s="48"/>
      <c r="J16" s="199"/>
      <c r="K16" s="214"/>
      <c r="L16" s="20"/>
      <c r="M16" s="20"/>
      <c r="N16" s="199"/>
    </row>
    <row r="17" spans="1:14" s="21" customFormat="1" ht="18.5" x14ac:dyDescent="0.45">
      <c r="A17" s="75">
        <f>IF(F17&lt;&gt;"",(LARGE(A$4:A16,1)+1),"")</f>
        <v>4</v>
      </c>
      <c r="B17" s="38" t="s">
        <v>190</v>
      </c>
      <c r="C17" s="144">
        <v>239.42</v>
      </c>
      <c r="D17" s="51" t="s">
        <v>10</v>
      </c>
      <c r="E17" s="48">
        <f>G17+H17+J17+I17</f>
        <v>24.428875000000001</v>
      </c>
      <c r="F17" s="199">
        <f>E17*C17</f>
        <v>5848.7612525000004</v>
      </c>
      <c r="G17" s="48">
        <v>6.7425000000000006</v>
      </c>
      <c r="H17" s="48">
        <v>14.5</v>
      </c>
      <c r="I17" s="48">
        <f>IF(D17=0," ",(G17)*(Details!$C$4+Details!$C$8))</f>
        <v>1.0113750000000001</v>
      </c>
      <c r="J17" s="199">
        <f>IF(D17=0," ",(H17)*(Details!$C$6+Details!$C$8))</f>
        <v>2.1750000000000003</v>
      </c>
      <c r="K17" s="59">
        <f>+G17*C17</f>
        <v>1614.28935</v>
      </c>
      <c r="L17" s="48">
        <f>+H17*C17</f>
        <v>3471.5899999999997</v>
      </c>
      <c r="M17" s="48">
        <f>IF(D17=0," ",(I17*C17))</f>
        <v>242.14340250000001</v>
      </c>
      <c r="N17" s="199">
        <f>IF(D17=0," ",(J17*C17))</f>
        <v>520.73850000000004</v>
      </c>
    </row>
    <row r="18" spans="1:14" s="21" customFormat="1" ht="18.5" x14ac:dyDescent="0.45">
      <c r="A18" s="75" t="str">
        <f>IF(F18&lt;&gt;"",(LARGE(A$4:A17,1)+1),"")</f>
        <v/>
      </c>
      <c r="B18" s="38"/>
      <c r="C18" s="144"/>
      <c r="D18" s="51"/>
      <c r="E18" s="48"/>
      <c r="F18" s="199"/>
      <c r="G18" s="48"/>
      <c r="H18" s="48"/>
      <c r="I18" s="48"/>
      <c r="J18" s="199"/>
      <c r="K18" s="59"/>
      <c r="L18" s="48"/>
      <c r="M18" s="48"/>
      <c r="N18" s="199"/>
    </row>
    <row r="19" spans="1:14" s="21" customFormat="1" ht="18.5" x14ac:dyDescent="0.45">
      <c r="A19" s="75">
        <f>IF(F19&lt;&gt;"",(LARGE(A$4:A18,1)+1),"")</f>
        <v>5</v>
      </c>
      <c r="B19" s="38" t="s">
        <v>192</v>
      </c>
      <c r="C19" s="144">
        <v>239.42</v>
      </c>
      <c r="D19" s="51" t="s">
        <v>10</v>
      </c>
      <c r="E19" s="48">
        <f>G19+H19+J19+I19</f>
        <v>42.961125000000003</v>
      </c>
      <c r="F19" s="199">
        <f>E19*C19</f>
        <v>10285.7525475</v>
      </c>
      <c r="G19" s="48">
        <v>11.8575</v>
      </c>
      <c r="H19" s="48">
        <v>25.5</v>
      </c>
      <c r="I19" s="48">
        <f>IF(D19=0," ",(G19)*(Details!$C$4+Details!$C$8))</f>
        <v>1.7786250000000003</v>
      </c>
      <c r="J19" s="199">
        <f>IF(D19=0," ",(H19)*(Details!$C$6+Details!$C$8))</f>
        <v>3.8250000000000006</v>
      </c>
      <c r="K19" s="59">
        <f>+G19*C19</f>
        <v>2838.92265</v>
      </c>
      <c r="L19" s="48">
        <f>+H19*C19</f>
        <v>6105.21</v>
      </c>
      <c r="M19" s="48">
        <f>IF(D19=0," ",(I19*C19))</f>
        <v>425.83839750000004</v>
      </c>
      <c r="N19" s="199">
        <f>IF(D19=0," ",(J19*C19))</f>
        <v>915.78150000000005</v>
      </c>
    </row>
    <row r="20" spans="1:14" s="21" customFormat="1" ht="18.5" x14ac:dyDescent="0.45">
      <c r="A20" s="75" t="str">
        <f>IF(F20&lt;&gt;"",(LARGE(A$4:A19,1)+1),"")</f>
        <v/>
      </c>
      <c r="B20" s="151"/>
      <c r="C20" s="144"/>
      <c r="D20" s="51"/>
      <c r="E20" s="48"/>
      <c r="F20" s="199"/>
      <c r="G20" s="48"/>
      <c r="H20" s="48"/>
      <c r="I20" s="48"/>
      <c r="J20" s="199"/>
      <c r="K20" s="214"/>
      <c r="L20" s="20"/>
      <c r="M20" s="20"/>
      <c r="N20" s="199"/>
    </row>
    <row r="21" spans="1:14" s="21" customFormat="1" ht="18.5" x14ac:dyDescent="0.45">
      <c r="A21" s="75">
        <f>IF(F21&lt;&gt;"",(LARGE(A$4:A20,1)+1),"")</f>
        <v>6</v>
      </c>
      <c r="B21" s="151" t="s">
        <v>193</v>
      </c>
      <c r="C21" s="144">
        <v>239.42</v>
      </c>
      <c r="D21" s="51" t="s">
        <v>10</v>
      </c>
      <c r="E21" s="48">
        <f>G21+H21+J21+I21</f>
        <v>21.312087500000004</v>
      </c>
      <c r="F21" s="199">
        <f>E21*C21</f>
        <v>5102.5399892500009</v>
      </c>
      <c r="G21" s="48">
        <v>5.8822500000000009</v>
      </c>
      <c r="H21" s="48">
        <v>12.65</v>
      </c>
      <c r="I21" s="48">
        <f>IF(D21=0," ",(G21)*(Details!$C$4+Details!$C$8))</f>
        <v>0.88233750000000022</v>
      </c>
      <c r="J21" s="199">
        <f>IF(D21=0," ",(H21)*(Details!$C$6+Details!$C$8))</f>
        <v>1.8975000000000004</v>
      </c>
      <c r="K21" s="59">
        <f>+G21*C21</f>
        <v>1408.328295</v>
      </c>
      <c r="L21" s="48">
        <f>+H21*C21</f>
        <v>3028.663</v>
      </c>
      <c r="M21" s="48">
        <f>IF(D21=0," ",(I21*C21))</f>
        <v>211.24924425000003</v>
      </c>
      <c r="N21" s="199">
        <f>IF(D21=0," ",(J21*C21))</f>
        <v>454.29945000000009</v>
      </c>
    </row>
    <row r="22" spans="1:14" s="21" customFormat="1" ht="18.5" x14ac:dyDescent="0.45">
      <c r="A22" s="75" t="str">
        <f>IF(F22&lt;&gt;"",(LARGE(A$4:A21,1)+1),"")</f>
        <v/>
      </c>
      <c r="B22" s="38"/>
      <c r="C22" s="144"/>
      <c r="D22" s="51"/>
      <c r="E22" s="48"/>
      <c r="F22" s="199"/>
      <c r="G22" s="48"/>
      <c r="H22" s="48"/>
      <c r="I22" s="48"/>
      <c r="J22" s="199"/>
      <c r="K22" s="59"/>
      <c r="L22" s="48"/>
      <c r="M22" s="48"/>
      <c r="N22" s="199"/>
    </row>
    <row r="23" spans="1:14" s="21" customFormat="1" ht="18.5" x14ac:dyDescent="0.45">
      <c r="A23" s="75" t="str">
        <f>IF(F23&lt;&gt;"",(LARGE(A$4:A22,1)+1),"")</f>
        <v/>
      </c>
      <c r="B23" s="164" t="s">
        <v>60</v>
      </c>
      <c r="C23" s="144"/>
      <c r="D23" s="51"/>
      <c r="E23" s="48"/>
      <c r="F23" s="199"/>
      <c r="G23" s="48"/>
      <c r="H23" s="48"/>
      <c r="I23" s="48"/>
      <c r="J23" s="199"/>
      <c r="K23" s="214"/>
      <c r="L23" s="20"/>
      <c r="M23" s="20"/>
      <c r="N23" s="199"/>
    </row>
    <row r="24" spans="1:14" s="21" customFormat="1" ht="18.5" x14ac:dyDescent="0.45">
      <c r="A24" s="75" t="str">
        <f>IF(F24&lt;&gt;"",(LARGE(A$4:A23,1)+1),"")</f>
        <v/>
      </c>
      <c r="B24" s="38"/>
      <c r="C24" s="144"/>
      <c r="D24" s="51"/>
      <c r="E24" s="48"/>
      <c r="F24" s="199"/>
      <c r="G24" s="48"/>
      <c r="H24" s="48"/>
      <c r="I24" s="48"/>
      <c r="J24" s="199"/>
      <c r="K24" s="214"/>
      <c r="L24" s="20"/>
      <c r="M24" s="20"/>
      <c r="N24" s="199"/>
    </row>
    <row r="25" spans="1:14" s="21" customFormat="1" ht="18.5" x14ac:dyDescent="0.45">
      <c r="A25" s="75">
        <f>IF(F25&lt;&gt;"",(LARGE(A$4:A24,1)+1),"")</f>
        <v>7</v>
      </c>
      <c r="B25" s="38" t="s">
        <v>49</v>
      </c>
      <c r="C25" s="144">
        <v>48.44</v>
      </c>
      <c r="D25" s="51" t="s">
        <v>13</v>
      </c>
      <c r="E25" s="48">
        <f>G25+H25+J25+I25</f>
        <v>29.483125000000005</v>
      </c>
      <c r="F25" s="199">
        <f>E25*C25</f>
        <v>1428.1625750000001</v>
      </c>
      <c r="G25" s="48">
        <v>8.1375000000000011</v>
      </c>
      <c r="H25" s="48">
        <v>17.5</v>
      </c>
      <c r="I25" s="48">
        <f>IF(D25=0," ",(G25)*(Details!$C$4+Details!$C$8))</f>
        <v>1.2206250000000003</v>
      </c>
      <c r="J25" s="199">
        <f>IF(D25=0," ",(H25)*(Details!$C$6+Details!$C$8))</f>
        <v>2.6250000000000004</v>
      </c>
      <c r="K25" s="59">
        <f>+G25*C25</f>
        <v>394.18050000000005</v>
      </c>
      <c r="L25" s="48">
        <f>+H25*C25</f>
        <v>847.69999999999993</v>
      </c>
      <c r="M25" s="48">
        <f>IF(D25=0," ",(I25*C25))</f>
        <v>59.127075000000012</v>
      </c>
      <c r="N25" s="199">
        <f>IF(D25=0," ",(J25*C25))</f>
        <v>127.15500000000002</v>
      </c>
    </row>
    <row r="26" spans="1:14" s="21" customFormat="1" ht="18.5" x14ac:dyDescent="0.45">
      <c r="A26" s="75" t="str">
        <f>IF(F26&lt;&gt;"",(LARGE(A$4:A25,1)+1),"")</f>
        <v/>
      </c>
      <c r="B26" s="38"/>
      <c r="C26" s="144"/>
      <c r="D26" s="51"/>
      <c r="E26" s="48"/>
      <c r="F26" s="199"/>
      <c r="G26" s="48"/>
      <c r="H26" s="48"/>
      <c r="I26" s="48"/>
      <c r="J26" s="199"/>
      <c r="K26" s="214"/>
      <c r="L26" s="20"/>
      <c r="M26" s="20"/>
      <c r="N26" s="199"/>
    </row>
    <row r="27" spans="1:14" s="21" customFormat="1" ht="18.5" x14ac:dyDescent="0.45">
      <c r="A27" s="75">
        <f>IF(F27&lt;&gt;"",(LARGE(A$4:A26,1)+1),"")</f>
        <v>8</v>
      </c>
      <c r="B27" s="38" t="s">
        <v>50</v>
      </c>
      <c r="C27" s="144">
        <v>24.22</v>
      </c>
      <c r="D27" s="51" t="s">
        <v>13</v>
      </c>
      <c r="E27" s="48">
        <f>G27+H27+J27+I27</f>
        <v>27.798375</v>
      </c>
      <c r="F27" s="199">
        <f>E27*C27</f>
        <v>673.27664249999998</v>
      </c>
      <c r="G27" s="48">
        <v>7.6725000000000003</v>
      </c>
      <c r="H27" s="48">
        <v>16.5</v>
      </c>
      <c r="I27" s="48">
        <f>IF(D27=0," ",(G27)*(Details!$C$4+Details!$C$8))</f>
        <v>1.1508750000000003</v>
      </c>
      <c r="J27" s="199">
        <f>IF(D27=0," ",(H27)*(Details!$C$6+Details!$C$8))</f>
        <v>2.4750000000000005</v>
      </c>
      <c r="K27" s="59">
        <f>+G27*C27</f>
        <v>185.82794999999999</v>
      </c>
      <c r="L27" s="48">
        <f>+H27*C27</f>
        <v>399.63</v>
      </c>
      <c r="M27" s="48">
        <f>IF(D27=0," ",(I27*C27))</f>
        <v>27.874192500000007</v>
      </c>
      <c r="N27" s="199">
        <f>IF(D27=0," ",(J27*C27))</f>
        <v>59.944500000000012</v>
      </c>
    </row>
    <row r="28" spans="1:14" s="21" customFormat="1" ht="18.5" x14ac:dyDescent="0.45">
      <c r="A28" s="75" t="str">
        <f>IF(F28&lt;&gt;"",(LARGE(A$4:A27,1)+1),"")</f>
        <v/>
      </c>
      <c r="B28" s="38"/>
      <c r="C28" s="144"/>
      <c r="D28" s="51"/>
      <c r="E28" s="48"/>
      <c r="F28" s="199"/>
      <c r="G28" s="48"/>
      <c r="H28" s="48"/>
      <c r="I28" s="48"/>
      <c r="J28" s="199"/>
      <c r="K28" s="214"/>
      <c r="L28" s="20"/>
      <c r="M28" s="20"/>
      <c r="N28" s="199"/>
    </row>
    <row r="29" spans="1:14" s="21" customFormat="1" ht="18.5" x14ac:dyDescent="0.45">
      <c r="A29" s="75">
        <f>IF(F29&lt;&gt;"",(LARGE(A$4:A28,1)+1),"")</f>
        <v>9</v>
      </c>
      <c r="B29" s="38" t="s">
        <v>51</v>
      </c>
      <c r="C29" s="144">
        <v>8.5500000000000007</v>
      </c>
      <c r="D29" s="51" t="s">
        <v>13</v>
      </c>
      <c r="E29" s="48">
        <f>G29+H29+J29+I29</f>
        <v>29.061937499999999</v>
      </c>
      <c r="F29" s="199">
        <f>E29*C29</f>
        <v>248.47956562500002</v>
      </c>
      <c r="G29" s="48">
        <v>8.0212500000000002</v>
      </c>
      <c r="H29" s="48">
        <v>17.25</v>
      </c>
      <c r="I29" s="48">
        <f>IF(D29=0," ",(G29)*(Details!$C$4+Details!$C$8))</f>
        <v>1.2031875000000003</v>
      </c>
      <c r="J29" s="199">
        <f>IF(D29=0," ",(H29)*(Details!$C$6+Details!$C$8))</f>
        <v>2.5875000000000004</v>
      </c>
      <c r="K29" s="59">
        <f>+G29*C29</f>
        <v>68.581687500000001</v>
      </c>
      <c r="L29" s="48">
        <f>+H29*C29</f>
        <v>147.48750000000001</v>
      </c>
      <c r="M29" s="48">
        <f>IF(D29=0," ",(I29*C29))</f>
        <v>10.287253125000003</v>
      </c>
      <c r="N29" s="199">
        <f>IF(D29=0," ",(J29*C29))</f>
        <v>22.123125000000005</v>
      </c>
    </row>
    <row r="30" spans="1:14" s="21" customFormat="1" ht="18.5" x14ac:dyDescent="0.45">
      <c r="A30" s="75" t="str">
        <f>IF(F30&lt;&gt;"",(LARGE(A$4:A29,1)+1),"")</f>
        <v/>
      </c>
      <c r="B30" s="151"/>
      <c r="C30" s="144"/>
      <c r="D30" s="51"/>
      <c r="E30" s="48"/>
      <c r="F30" s="199"/>
      <c r="G30" s="48"/>
      <c r="H30" s="48"/>
      <c r="I30" s="48"/>
      <c r="J30" s="199"/>
      <c r="K30" s="214"/>
      <c r="L30" s="20"/>
      <c r="M30" s="20"/>
      <c r="N30" s="199"/>
    </row>
    <row r="31" spans="1:14" s="21" customFormat="1" ht="18.5" x14ac:dyDescent="0.45">
      <c r="A31" s="75" t="str">
        <f>IF(F31&lt;&gt;"",(LARGE(A$4:A30,1)+1),"")</f>
        <v/>
      </c>
      <c r="B31" s="164" t="s">
        <v>63</v>
      </c>
      <c r="C31" s="147"/>
      <c r="D31" s="61"/>
      <c r="E31" s="62"/>
      <c r="F31" s="198"/>
      <c r="G31" s="48"/>
      <c r="H31" s="48"/>
      <c r="I31" s="48"/>
      <c r="J31" s="199"/>
      <c r="K31" s="214"/>
      <c r="L31" s="20"/>
      <c r="M31" s="20"/>
      <c r="N31" s="199"/>
    </row>
    <row r="32" spans="1:14" s="21" customFormat="1" ht="18.5" x14ac:dyDescent="0.45">
      <c r="A32" s="75" t="str">
        <f>IF(F32&lt;&gt;"",(LARGE(A$4:A31,1)+1),"")</f>
        <v/>
      </c>
      <c r="B32" s="164"/>
      <c r="C32" s="147"/>
      <c r="D32" s="61"/>
      <c r="E32" s="62"/>
      <c r="F32" s="198"/>
      <c r="G32" s="48"/>
      <c r="H32" s="48"/>
      <c r="I32" s="48"/>
      <c r="J32" s="199"/>
      <c r="K32" s="214"/>
      <c r="L32" s="20"/>
      <c r="M32" s="20"/>
      <c r="N32" s="199"/>
    </row>
    <row r="33" spans="1:16" s="21" customFormat="1" ht="18.5" x14ac:dyDescent="0.45">
      <c r="A33" s="75">
        <f>IF(F33&lt;&gt;"",(LARGE(A$4:A32,1)+1),"")</f>
        <v>10</v>
      </c>
      <c r="B33" s="151" t="s">
        <v>242</v>
      </c>
      <c r="C33" s="144">
        <v>14.78</v>
      </c>
      <c r="D33" s="51" t="s">
        <v>13</v>
      </c>
      <c r="E33" s="48">
        <f>G33+H33+J33+I33</f>
        <v>37.906874999999999</v>
      </c>
      <c r="F33" s="199">
        <f>E33*C33</f>
        <v>560.26361250000002</v>
      </c>
      <c r="G33" s="48">
        <v>10.4625</v>
      </c>
      <c r="H33" s="48">
        <v>22.5</v>
      </c>
      <c r="I33" s="48">
        <f>IF(D33=0," ",(G33)*(Details!$C$4+Details!$C$8))</f>
        <v>1.5693750000000002</v>
      </c>
      <c r="J33" s="199">
        <f>IF(D33=0," ",(H33)*(Details!$C$6+Details!$C$8))</f>
        <v>3.3750000000000004</v>
      </c>
      <c r="K33" s="59">
        <f>+G33*C33</f>
        <v>154.63575</v>
      </c>
      <c r="L33" s="48">
        <f>+H33*C33</f>
        <v>332.55</v>
      </c>
      <c r="M33" s="48">
        <f>IF(D33=0," ",(I33*C33))</f>
        <v>23.195362500000002</v>
      </c>
      <c r="N33" s="199">
        <f>IF(D33=0," ",(J33*C33))</f>
        <v>49.882500000000007</v>
      </c>
    </row>
    <row r="34" spans="1:16" s="21" customFormat="1" ht="18.5" x14ac:dyDescent="0.45">
      <c r="A34" s="75" t="str">
        <f>IF(F34&lt;&gt;"",(LARGE(A$4:A33,1)+1),"")</f>
        <v/>
      </c>
      <c r="B34" s="38"/>
      <c r="C34" s="144"/>
      <c r="D34" s="51"/>
      <c r="E34" s="48"/>
      <c r="F34" s="199"/>
      <c r="G34" s="48"/>
      <c r="H34" s="48"/>
      <c r="I34" s="48" t="str">
        <f>IF(D34=0," ",(G34)*(Details!$C$4+Details!$C$8))</f>
        <v xml:space="preserve"> </v>
      </c>
      <c r="J34" s="199" t="str">
        <f>IF(D34=0," ",(H34)*(Details!$C$6+Details!$C$8))</f>
        <v xml:space="preserve"> </v>
      </c>
      <c r="K34" s="214"/>
      <c r="L34" s="20"/>
      <c r="M34" s="20"/>
      <c r="N34" s="199"/>
    </row>
    <row r="35" spans="1:16" s="21" customFormat="1" ht="18.5" x14ac:dyDescent="0.45">
      <c r="A35" s="75">
        <f>IF(F35&lt;&gt;"",(LARGE(A$4:A34,1)+1),"")</f>
        <v>11</v>
      </c>
      <c r="B35" s="151" t="s">
        <v>52</v>
      </c>
      <c r="C35" s="144">
        <v>48.9</v>
      </c>
      <c r="D35" s="51" t="s">
        <v>13</v>
      </c>
      <c r="E35" s="48">
        <f>G35+H35+J35+I35</f>
        <v>41.276374999999994</v>
      </c>
      <c r="F35" s="199">
        <f>E35*C35</f>
        <v>2018.4147374999998</v>
      </c>
      <c r="G35" s="48">
        <v>11.3925</v>
      </c>
      <c r="H35" s="48">
        <v>24.5</v>
      </c>
      <c r="I35" s="48">
        <f>IF(D35=0," ",(G35)*(Details!$C$4+Details!$C$8))</f>
        <v>1.7088750000000004</v>
      </c>
      <c r="J35" s="199">
        <f>IF(D35=0," ",(H35)*(Details!$C$6+Details!$C$8))</f>
        <v>3.6750000000000007</v>
      </c>
      <c r="K35" s="59">
        <f>+G35*C35</f>
        <v>557.09325000000001</v>
      </c>
      <c r="L35" s="48">
        <f>+H35*C35</f>
        <v>1198.05</v>
      </c>
      <c r="M35" s="48">
        <f>IF(D35=0," ",(I35*C35))</f>
        <v>83.56398750000001</v>
      </c>
      <c r="N35" s="199">
        <f>IF(D35=0," ",(J35*C35))</f>
        <v>179.70750000000004</v>
      </c>
    </row>
    <row r="36" spans="1:16" s="21" customFormat="1" ht="18.5" x14ac:dyDescent="0.45">
      <c r="A36" s="75" t="str">
        <f>IF(F36&lt;&gt;"",(LARGE(A$4:A35,1)+1),"")</f>
        <v/>
      </c>
      <c r="B36" s="151"/>
      <c r="C36" s="144"/>
      <c r="D36" s="51"/>
      <c r="E36" s="48"/>
      <c r="F36" s="199"/>
      <c r="G36" s="48"/>
      <c r="H36" s="48"/>
      <c r="I36" s="48" t="str">
        <f>IF(D36=0," ",(G36)*(Details!$C$4+Details!$C$8))</f>
        <v xml:space="preserve"> </v>
      </c>
      <c r="J36" s="199" t="str">
        <f>IF(D36=0," ",(H36)*(Details!$C$6+Details!$C$8))</f>
        <v xml:space="preserve"> </v>
      </c>
      <c r="K36" s="214"/>
      <c r="L36" s="20"/>
      <c r="M36" s="20"/>
      <c r="N36" s="199"/>
    </row>
    <row r="37" spans="1:16" s="21" customFormat="1" ht="18.5" x14ac:dyDescent="0.45">
      <c r="A37" s="75" t="str">
        <f>IF(F37&lt;&gt;"",(LARGE(A$4:A36,1)+1),"")</f>
        <v/>
      </c>
      <c r="B37" s="164" t="s">
        <v>64</v>
      </c>
      <c r="C37" s="144"/>
      <c r="D37" s="51"/>
      <c r="E37" s="48"/>
      <c r="F37" s="199"/>
      <c r="G37" s="48"/>
      <c r="H37" s="48"/>
      <c r="I37" s="48" t="str">
        <f>IF(D37=0," ",(G37)*(Details!$C$4+Details!$C$8))</f>
        <v xml:space="preserve"> </v>
      </c>
      <c r="J37" s="199" t="str">
        <f>IF(D37=0," ",(H37)*(Details!$C$6+Details!$C$8))</f>
        <v xml:space="preserve"> </v>
      </c>
      <c r="K37" s="214"/>
      <c r="L37" s="20"/>
      <c r="M37" s="20"/>
      <c r="N37" s="199"/>
    </row>
    <row r="38" spans="1:16" s="21" customFormat="1" ht="18.5" x14ac:dyDescent="0.45">
      <c r="A38" s="75" t="str">
        <f>IF(F38&lt;&gt;"",(LARGE(A$4:A37,1)+1),"")</f>
        <v/>
      </c>
      <c r="B38" s="151"/>
      <c r="C38" s="144"/>
      <c r="D38" s="51"/>
      <c r="E38" s="48"/>
      <c r="F38" s="199"/>
      <c r="G38" s="48"/>
      <c r="H38" s="48"/>
      <c r="I38" s="48" t="str">
        <f>IF(D38=0," ",(G38)*(Details!$C$4+Details!$C$8))</f>
        <v xml:space="preserve"> </v>
      </c>
      <c r="J38" s="199" t="str">
        <f>IF(D38=0," ",(H38)*(Details!$C$6+Details!$C$8))</f>
        <v xml:space="preserve"> </v>
      </c>
      <c r="K38" s="214"/>
      <c r="L38" s="20"/>
      <c r="M38" s="20"/>
      <c r="N38" s="199"/>
    </row>
    <row r="39" spans="1:16" s="21" customFormat="1" ht="18.5" x14ac:dyDescent="0.45">
      <c r="A39" s="75">
        <f>IF(F39&lt;&gt;"",(LARGE(A$4:A38,1)+1),"")</f>
        <v>12</v>
      </c>
      <c r="B39" s="38" t="s">
        <v>53</v>
      </c>
      <c r="C39" s="144">
        <v>23.34</v>
      </c>
      <c r="D39" s="51" t="s">
        <v>13</v>
      </c>
      <c r="E39" s="48">
        <f>G39+H39+J39+I39</f>
        <v>44.645874999999997</v>
      </c>
      <c r="F39" s="199">
        <f>E39*C39</f>
        <v>1042.0347224999998</v>
      </c>
      <c r="G39" s="48">
        <v>12.3225</v>
      </c>
      <c r="H39" s="48">
        <v>26.5</v>
      </c>
      <c r="I39" s="48">
        <f>IF(D39=0," ",(G39)*(Details!$C$4+Details!$C$8))</f>
        <v>1.8483750000000003</v>
      </c>
      <c r="J39" s="199">
        <f>IF(D39=0," ",(H39)*(Details!$C$6+Details!$C$8))</f>
        <v>3.9750000000000005</v>
      </c>
      <c r="K39" s="59">
        <f>+G39*C39</f>
        <v>287.60714999999999</v>
      </c>
      <c r="L39" s="48">
        <f>+H39*C39</f>
        <v>618.51</v>
      </c>
      <c r="M39" s="48">
        <f>IF(D39=0," ",(I39*C39))</f>
        <v>43.141072500000007</v>
      </c>
      <c r="N39" s="199">
        <f>IF(D39=0," ",(J39*C39))</f>
        <v>92.776500000000013</v>
      </c>
    </row>
    <row r="40" spans="1:16" s="21" customFormat="1" ht="18.5" x14ac:dyDescent="0.45">
      <c r="A40" s="75" t="str">
        <f>IF(F40&lt;&gt;"",(LARGE(A$4:A39,1)+1),"")</f>
        <v/>
      </c>
      <c r="B40" s="151"/>
      <c r="C40" s="144"/>
      <c r="D40" s="51"/>
      <c r="E40" s="48"/>
      <c r="F40" s="199"/>
      <c r="G40" s="48"/>
      <c r="H40" s="48"/>
      <c r="I40" s="48" t="str">
        <f>IF(D40=0," ",(G40)*(Details!$C$4+Details!$C$8))</f>
        <v xml:space="preserve"> </v>
      </c>
      <c r="J40" s="199" t="str">
        <f>IF(D40=0," ",(H40)*(Details!$C$6+Details!$C$8))</f>
        <v xml:space="preserve"> </v>
      </c>
      <c r="K40" s="214"/>
      <c r="L40" s="20"/>
      <c r="M40" s="20"/>
      <c r="N40" s="199" t="str">
        <f t="shared" si="0"/>
        <v xml:space="preserve"> </v>
      </c>
    </row>
    <row r="41" spans="1:16" s="21" customFormat="1" ht="18.5" x14ac:dyDescent="0.45">
      <c r="A41" s="75">
        <f>IF(F41&lt;&gt;"",(LARGE(A$4:A40,1)+1),"")</f>
        <v>13</v>
      </c>
      <c r="B41" s="38" t="s">
        <v>54</v>
      </c>
      <c r="C41" s="144">
        <v>45.67</v>
      </c>
      <c r="D41" s="51" t="s">
        <v>13</v>
      </c>
      <c r="E41" s="48">
        <f>G41+H41+J41+I41</f>
        <v>39.591625000000001</v>
      </c>
      <c r="F41" s="199">
        <f>E41*C41</f>
        <v>1808.1495137500001</v>
      </c>
      <c r="G41" s="48">
        <v>10.9275</v>
      </c>
      <c r="H41" s="48">
        <v>23.5</v>
      </c>
      <c r="I41" s="48">
        <f>IF(D41=0," ",(G41)*(Details!$C$4+Details!$C$8))</f>
        <v>1.6391250000000002</v>
      </c>
      <c r="J41" s="199">
        <f>IF(D41=0," ",(H41)*(Details!$C$6+Details!$C$8))</f>
        <v>3.5250000000000004</v>
      </c>
      <c r="K41" s="59">
        <f>+G41*C41</f>
        <v>499.05892500000004</v>
      </c>
      <c r="L41" s="48">
        <f>+H41*C41</f>
        <v>1073.2450000000001</v>
      </c>
      <c r="M41" s="48">
        <f>IF(D41=0," ",(I41*C41))</f>
        <v>74.858838750000004</v>
      </c>
      <c r="N41" s="199">
        <f>IF(D41=0," ",(J41*C41))</f>
        <v>160.98675000000003</v>
      </c>
    </row>
    <row r="42" spans="1:16" s="21" customFormat="1" ht="18.5" x14ac:dyDescent="0.45">
      <c r="A42" s="75" t="str">
        <f>IF(F42&lt;&gt;"",(LARGE(A$7:A41,1)+1),"")</f>
        <v/>
      </c>
      <c r="B42" s="151"/>
      <c r="C42" s="144"/>
      <c r="D42" s="51"/>
      <c r="E42" s="48"/>
      <c r="F42" s="199"/>
      <c r="G42" s="59"/>
      <c r="H42" s="48"/>
      <c r="I42" s="48" t="str">
        <f>IF(D42=0," ",(G42)*(Details!$C$4+Details!$C$8))</f>
        <v xml:space="preserve"> </v>
      </c>
      <c r="J42" s="199" t="str">
        <f>IF(D42=0," ",(H42)*(Details!$C$6+Details!$C$8))</f>
        <v xml:space="preserve"> </v>
      </c>
      <c r="K42" s="214"/>
      <c r="L42" s="20"/>
      <c r="M42" s="20"/>
      <c r="N42" s="199"/>
      <c r="P42" s="72" t="s">
        <v>125</v>
      </c>
    </row>
    <row r="43" spans="1:16" s="21" customFormat="1" ht="19" thickBot="1" x14ac:dyDescent="0.5">
      <c r="A43" s="75"/>
      <c r="B43" s="160"/>
      <c r="C43" s="144"/>
      <c r="D43" s="60"/>
      <c r="E43" s="62" t="s">
        <v>97</v>
      </c>
      <c r="F43" s="200">
        <f>SUM(F8:F42)</f>
        <v>71570.615306125008</v>
      </c>
      <c r="G43" s="59"/>
      <c r="H43" s="48"/>
      <c r="I43" s="48"/>
      <c r="J43" s="199" t="str">
        <f>IF(D43=0," ",(G43+H43)*(Details!$C$4+Details!$C$6))</f>
        <v xml:space="preserve"> </v>
      </c>
      <c r="K43" s="200">
        <f>SUM(K8:K42)</f>
        <v>19753.872157499998</v>
      </c>
      <c r="L43" s="200">
        <f>SUM(L8:L42)</f>
        <v>42481.445500000009</v>
      </c>
      <c r="M43" s="200">
        <f>SUM(M8:M42)</f>
        <v>2963.0808236250004</v>
      </c>
      <c r="N43" s="200">
        <f>SUM(N8:N42)</f>
        <v>6372.2168250000004</v>
      </c>
      <c r="P43" s="72">
        <f>+F43-K43-L43-N43-M43</f>
        <v>3.637978807091713E-12</v>
      </c>
    </row>
    <row r="44" spans="1:16" s="21" customFormat="1" ht="19.5" thickTop="1" thickBot="1" x14ac:dyDescent="0.5">
      <c r="A44" s="161" t="str">
        <f>IF(F44&lt;&gt;"",(LARGE(A$7:A43,1)+1),"")</f>
        <v/>
      </c>
      <c r="B44" s="162"/>
      <c r="C44" s="157"/>
      <c r="D44" s="63"/>
      <c r="E44" s="65"/>
      <c r="F44" s="201"/>
      <c r="G44" s="66"/>
      <c r="H44" s="65"/>
      <c r="I44" s="65"/>
      <c r="J44" s="67" t="str">
        <f>IF(D44=0," ",(G44+H44)*(Details!$C$4+Details!$C$6))</f>
        <v xml:space="preserve"> </v>
      </c>
      <c r="K44" s="227"/>
      <c r="L44" s="227"/>
      <c r="M44" s="227"/>
      <c r="N44" s="187"/>
      <c r="P44" s="55"/>
    </row>
  </sheetData>
  <mergeCells count="2">
    <mergeCell ref="G5:J5"/>
    <mergeCell ref="K5:N5"/>
  </mergeCells>
  <conditionalFormatting sqref="G8:G10539">
    <cfRule type="notContainsBlanks" dxfId="87" priority="1">
      <formula>LEN(TRIM(G8))&gt;0</formula>
    </cfRule>
  </conditionalFormatting>
  <conditionalFormatting sqref="H21 H33:H42">
    <cfRule type="notContainsBlanks" dxfId="86" priority="40">
      <formula>LEN(TRIM(H21))&gt;0</formula>
    </cfRule>
  </conditionalFormatting>
  <conditionalFormatting sqref="H25">
    <cfRule type="notContainsBlanks" dxfId="85" priority="18">
      <formula>LEN(TRIM(H25))&gt;0</formula>
    </cfRule>
  </conditionalFormatting>
  <conditionalFormatting sqref="H27">
    <cfRule type="notContainsBlanks" dxfId="84" priority="16">
      <formula>LEN(TRIM(H27))&gt;0</formula>
    </cfRule>
  </conditionalFormatting>
  <conditionalFormatting sqref="H29">
    <cfRule type="notContainsBlanks" dxfId="83" priority="14">
      <formula>LEN(TRIM(H29))&gt;0</formula>
    </cfRule>
  </conditionalFormatting>
  <conditionalFormatting sqref="H8:I10 H11 H12:I12 H13 H14:I14 H15 H16:I16 H17 H18:I18 H19 H20:I20 H22:I24 H26:I26 H28:I28 H30:I32 H43:I10439">
    <cfRule type="notContainsBlanks" dxfId="82" priority="68">
      <formula>LEN(TRIM(H8))&gt;0</formula>
    </cfRule>
  </conditionalFormatting>
  <conditionalFormatting sqref="P43">
    <cfRule type="cellIs" dxfId="81" priority="71" operator="equal">
      <formula>0</formula>
    </cfRule>
    <cfRule type="cellIs" dxfId="80" priority="72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X50"/>
  <sheetViews>
    <sheetView zoomScale="55" zoomScaleNormal="55" workbookViewId="0">
      <selection activeCell="P46" sqref="P46"/>
    </sheetView>
  </sheetViews>
  <sheetFormatPr defaultColWidth="9.08984375" defaultRowHeight="15.5" x14ac:dyDescent="0.35"/>
  <cols>
    <col min="1" max="1" width="5.81640625" style="16" customWidth="1"/>
    <col min="2" max="2" width="50.6328125" style="16" customWidth="1"/>
    <col min="3" max="4" width="11.6328125" style="70" customWidth="1"/>
    <col min="5" max="5" width="12.453125" style="32" customWidth="1"/>
    <col min="6" max="6" width="8.6328125" style="16" customWidth="1"/>
    <col min="7" max="11" width="15.6328125" style="20" customWidth="1"/>
    <col min="12" max="16" width="15.6328125" style="16" customWidth="1"/>
    <col min="17" max="17" width="14" style="69" bestFit="1" customWidth="1"/>
    <col min="18" max="19" width="11.6328125" style="69" bestFit="1" customWidth="1"/>
    <col min="20" max="20" width="10.6328125" style="69" customWidth="1"/>
    <col min="21" max="21" width="11.36328125" style="32" bestFit="1" customWidth="1"/>
    <col min="22" max="22" width="14.453125" style="16" bestFit="1" customWidth="1"/>
    <col min="23" max="16384" width="9.08984375" style="16"/>
  </cols>
  <sheetData>
    <row r="1" spans="1:24" x14ac:dyDescent="0.35">
      <c r="A1" s="29"/>
      <c r="B1" s="24"/>
      <c r="C1" s="76"/>
      <c r="D1" s="76"/>
      <c r="E1" s="31"/>
      <c r="F1" s="24"/>
      <c r="G1" s="33"/>
      <c r="H1" s="34"/>
      <c r="I1" s="33"/>
      <c r="J1" s="33"/>
      <c r="K1" s="33"/>
      <c r="L1" s="24"/>
      <c r="U1" s="266">
        <v>1</v>
      </c>
    </row>
    <row r="2" spans="1:24" x14ac:dyDescent="0.35">
      <c r="A2" s="15"/>
      <c r="B2" s="3" t="str">
        <f>+Roof!B2</f>
        <v>PROJECT NAME: SQUAIRRELS LEAP GUILDFORD ROAD, CHERTSEY KT16 9RU</v>
      </c>
      <c r="C2" s="77"/>
      <c r="D2" s="77"/>
      <c r="H2" s="35"/>
      <c r="R2" s="259" t="s">
        <v>170</v>
      </c>
      <c r="S2" s="259" t="s">
        <v>170</v>
      </c>
    </row>
    <row r="3" spans="1:24" x14ac:dyDescent="0.35">
      <c r="A3" s="15"/>
      <c r="B3" s="53" t="str">
        <f>+Roof!B3</f>
        <v>DATE: 25TH NOVEMBER 2025</v>
      </c>
      <c r="C3" s="78"/>
      <c r="D3" s="78"/>
      <c r="H3" s="35"/>
      <c r="R3" s="69" t="s">
        <v>57</v>
      </c>
      <c r="S3" s="69" t="s">
        <v>58</v>
      </c>
      <c r="T3" s="69" t="s">
        <v>395</v>
      </c>
      <c r="U3" s="68"/>
      <c r="V3" s="21"/>
      <c r="W3" s="21"/>
      <c r="X3" s="21"/>
    </row>
    <row r="4" spans="1:24" s="21" customFormat="1" x14ac:dyDescent="0.35">
      <c r="A4" s="15"/>
      <c r="B4" s="16"/>
      <c r="C4" s="70"/>
      <c r="D4" s="79"/>
      <c r="E4" s="32"/>
      <c r="G4" s="36"/>
      <c r="H4" s="37"/>
      <c r="I4" s="36"/>
      <c r="J4" s="36"/>
      <c r="K4" s="36"/>
      <c r="Q4" s="69"/>
      <c r="R4" s="20">
        <f>IF($R$2="Multiple", "Input",
    IF($R$2="UPVC",$U$1*750,0)
    +IF($R$2="Aluminium",$U$1*1250,0)
    +IF($R$2="Timber",$U$1*1250,0)
    +IF($R$2="Composite",$U$1*1500,0)
    +IF($R$2="Crittall",$U$1*2000,0)
)</f>
        <v>750</v>
      </c>
      <c r="S4" s="20">
        <f>IF($S$2="Multiple", "Input",
    IF($S$2="UPVC",$U$1*250,0)
    +IF($S$2="Aluminium",$U$1*600,0)
    +IF($S$2="Timber",$U$1*550,0)
    +IF($S$2="Composite",$U$1*450,0)
    +IF($S$2="Crittall",$U$1*1250,0)
)</f>
        <v>250</v>
      </c>
      <c r="T4" s="69">
        <v>800</v>
      </c>
      <c r="U4" s="68"/>
    </row>
    <row r="5" spans="1:24" s="21" customFormat="1" ht="16" thickBot="1" x14ac:dyDescent="0.4">
      <c r="A5" s="15"/>
      <c r="B5" s="16"/>
      <c r="C5" s="70"/>
      <c r="D5" s="79"/>
      <c r="E5" s="32"/>
      <c r="G5" s="36"/>
      <c r="H5" s="37"/>
      <c r="I5" s="36"/>
      <c r="J5" s="36"/>
      <c r="K5" s="36"/>
      <c r="L5" s="227"/>
      <c r="M5" s="227"/>
      <c r="Q5" s="69"/>
      <c r="R5" s="69" t="str">
        <f>IF($R$2="Multiple", "Input", "")</f>
        <v/>
      </c>
      <c r="S5" s="69" t="str">
        <f>IF($S$2="Multiple", "Input", "")</f>
        <v/>
      </c>
      <c r="T5" s="69"/>
      <c r="U5" s="20"/>
    </row>
    <row r="6" spans="1:24" s="21" customFormat="1" ht="37.5" customHeight="1" thickBot="1" x14ac:dyDescent="0.55000000000000004">
      <c r="A6" s="218"/>
      <c r="B6" s="219" t="s">
        <v>396</v>
      </c>
      <c r="C6" s="220"/>
      <c r="D6" s="220"/>
      <c r="E6" s="221"/>
      <c r="F6" s="222"/>
      <c r="G6" s="223"/>
      <c r="H6" s="224"/>
      <c r="I6" s="359" t="s">
        <v>121</v>
      </c>
      <c r="J6" s="360"/>
      <c r="K6" s="360"/>
      <c r="L6" s="361"/>
      <c r="M6" s="360" t="s">
        <v>122</v>
      </c>
      <c r="N6" s="360"/>
      <c r="O6" s="360"/>
      <c r="P6" s="361"/>
      <c r="Q6" s="69"/>
      <c r="R6" s="69"/>
      <c r="S6" s="69"/>
      <c r="T6" s="69"/>
      <c r="U6" s="68"/>
    </row>
    <row r="7" spans="1:24" s="21" customFormat="1" ht="18.5" x14ac:dyDescent="0.45">
      <c r="A7" s="183"/>
      <c r="B7" s="228"/>
      <c r="C7" s="168"/>
      <c r="D7" s="168"/>
      <c r="E7" s="229"/>
      <c r="F7" s="146"/>
      <c r="G7" s="145"/>
      <c r="H7" s="230"/>
      <c r="I7" s="254"/>
      <c r="J7" s="256"/>
      <c r="K7" s="256"/>
      <c r="L7" s="186"/>
      <c r="M7" s="23"/>
      <c r="N7" s="23"/>
      <c r="O7" s="23"/>
      <c r="P7" s="186"/>
      <c r="Q7" s="69"/>
      <c r="R7" s="69"/>
      <c r="S7" s="69"/>
      <c r="T7" s="69"/>
      <c r="U7" s="68"/>
    </row>
    <row r="8" spans="1:24" s="21" customFormat="1" ht="21" x14ac:dyDescent="0.45">
      <c r="A8" s="49"/>
      <c r="B8" s="3" t="s">
        <v>3</v>
      </c>
      <c r="C8" s="232"/>
      <c r="D8" s="232"/>
      <c r="E8" s="259" t="s">
        <v>8</v>
      </c>
      <c r="F8" s="260" t="s">
        <v>2</v>
      </c>
      <c r="G8" s="54" t="s">
        <v>1</v>
      </c>
      <c r="H8" s="261" t="s">
        <v>0</v>
      </c>
      <c r="I8" s="262" t="s">
        <v>393</v>
      </c>
      <c r="J8" s="262" t="s">
        <v>27</v>
      </c>
      <c r="K8" s="262" t="s">
        <v>156</v>
      </c>
      <c r="L8" s="263" t="s">
        <v>157</v>
      </c>
      <c r="M8" s="262" t="s">
        <v>393</v>
      </c>
      <c r="N8" s="262" t="s">
        <v>27</v>
      </c>
      <c r="O8" s="262" t="s">
        <v>156</v>
      </c>
      <c r="P8" s="263" t="s">
        <v>157</v>
      </c>
      <c r="Q8" s="69"/>
      <c r="R8" s="69"/>
      <c r="S8" s="69"/>
      <c r="T8" s="69"/>
      <c r="U8" s="68"/>
    </row>
    <row r="9" spans="1:24" s="21" customFormat="1" ht="21" x14ac:dyDescent="0.5">
      <c r="A9" s="49"/>
      <c r="B9" s="51"/>
      <c r="C9" s="231" t="s">
        <v>128</v>
      </c>
      <c r="D9" s="231" t="s">
        <v>128</v>
      </c>
      <c r="E9" s="147"/>
      <c r="F9" s="61"/>
      <c r="G9" s="62"/>
      <c r="H9" s="198"/>
      <c r="I9" s="255"/>
      <c r="J9" s="54"/>
      <c r="K9" s="54"/>
      <c r="L9" s="225"/>
      <c r="M9" s="54"/>
      <c r="N9" s="212"/>
      <c r="O9" s="212"/>
      <c r="P9" s="199" t="str">
        <f t="shared" ref="P9" si="0">IF(F9=0," ",(L9*E9))</f>
        <v xml:space="preserve"> </v>
      </c>
      <c r="Q9" s="32"/>
      <c r="R9" s="32"/>
      <c r="S9" s="32"/>
      <c r="T9" s="32"/>
      <c r="U9" s="32"/>
      <c r="V9" s="16"/>
    </row>
    <row r="10" spans="1:24" s="21" customFormat="1" ht="21" x14ac:dyDescent="0.5">
      <c r="A10" s="49"/>
      <c r="B10" s="51"/>
      <c r="C10" s="231"/>
      <c r="D10" s="231"/>
      <c r="E10" s="147"/>
      <c r="F10" s="61"/>
      <c r="G10" s="62"/>
      <c r="H10" s="198"/>
      <c r="I10" s="255"/>
      <c r="J10" s="54"/>
      <c r="K10" s="54"/>
      <c r="L10" s="225"/>
      <c r="M10" s="54"/>
      <c r="N10" s="212"/>
      <c r="O10" s="212"/>
      <c r="P10" s="199"/>
      <c r="Q10" s="32"/>
      <c r="R10" s="32"/>
      <c r="S10" s="32"/>
      <c r="T10" s="32"/>
      <c r="U10" s="32"/>
      <c r="V10" s="16"/>
    </row>
    <row r="11" spans="1:24" s="21" customFormat="1" ht="37" x14ac:dyDescent="0.45">
      <c r="A11" s="49"/>
      <c r="B11" s="170" t="s">
        <v>266</v>
      </c>
      <c r="C11" s="171" t="s">
        <v>76</v>
      </c>
      <c r="D11" s="171" t="s">
        <v>77</v>
      </c>
      <c r="E11" s="144"/>
      <c r="F11" s="51"/>
      <c r="G11" s="48"/>
      <c r="H11" s="199"/>
      <c r="I11" s="59"/>
      <c r="J11" s="48"/>
      <c r="K11" s="48"/>
      <c r="L11" s="199"/>
      <c r="M11" s="48"/>
      <c r="N11" s="48"/>
      <c r="O11" s="48"/>
      <c r="P11" s="199" t="str">
        <f t="shared" ref="P11:P12" si="1">IF(F11=0," ",(L11*E11))</f>
        <v xml:space="preserve"> </v>
      </c>
      <c r="Q11" s="32"/>
      <c r="R11" s="32"/>
      <c r="S11" s="32"/>
      <c r="T11" s="32"/>
      <c r="U11" s="32"/>
      <c r="V11" s="16"/>
    </row>
    <row r="12" spans="1:24" s="21" customFormat="1" ht="18.5" x14ac:dyDescent="0.45">
      <c r="A12" s="49"/>
      <c r="B12" s="51"/>
      <c r="C12" s="169"/>
      <c r="D12" s="172"/>
      <c r="E12" s="144"/>
      <c r="F12" s="51"/>
      <c r="G12" s="48"/>
      <c r="H12" s="199"/>
      <c r="I12" s="59"/>
      <c r="J12" s="173"/>
      <c r="K12" s="173"/>
      <c r="L12" s="226"/>
      <c r="M12" s="173"/>
      <c r="N12" s="173"/>
      <c r="O12" s="173"/>
      <c r="P12" s="199" t="str">
        <f t="shared" si="1"/>
        <v xml:space="preserve"> </v>
      </c>
      <c r="Q12" s="32"/>
      <c r="R12" s="32"/>
      <c r="S12" s="32"/>
      <c r="T12" s="32"/>
      <c r="U12" s="32"/>
      <c r="V12" s="16"/>
    </row>
    <row r="13" spans="1:24" s="21" customFormat="1" ht="18.5" x14ac:dyDescent="0.45">
      <c r="A13" s="49">
        <v>1</v>
      </c>
      <c r="B13" s="174" t="s">
        <v>267</v>
      </c>
      <c r="C13" s="176">
        <v>800</v>
      </c>
      <c r="D13" s="175" t="s">
        <v>268</v>
      </c>
      <c r="E13" s="176">
        <v>20</v>
      </c>
      <c r="F13" s="51" t="s">
        <v>12</v>
      </c>
      <c r="G13" s="48">
        <f>I13+J13+L13+K13</f>
        <v>1255.1387500000001</v>
      </c>
      <c r="H13" s="199">
        <f>G13*E13</f>
        <v>25102.775000000001</v>
      </c>
      <c r="I13" s="59">
        <v>346.42500000000001</v>
      </c>
      <c r="J13" s="48">
        <v>745</v>
      </c>
      <c r="K13" s="48">
        <f>IF(F13=0," ",(I13)*([1]Details!$C$4+[1]Details!$C$8))</f>
        <v>51.963750000000012</v>
      </c>
      <c r="L13" s="199">
        <f>IF(F13=0," ",(J13)*([1]Details!$C$6+[1]Details!$C$8))</f>
        <v>111.75000000000001</v>
      </c>
      <c r="M13" s="59">
        <f>+I13*E13</f>
        <v>6928.5</v>
      </c>
      <c r="N13" s="48">
        <f>+J13*E13</f>
        <v>14900</v>
      </c>
      <c r="O13" s="48">
        <f>IF(F13=0," ",(K13*E13))</f>
        <v>1039.2750000000003</v>
      </c>
      <c r="P13" s="199">
        <f>IF(F13=0," ",(L13*E13))</f>
        <v>2235.0000000000005</v>
      </c>
      <c r="Q13" s="32"/>
      <c r="R13" s="32"/>
      <c r="S13" s="32"/>
      <c r="T13" s="32"/>
      <c r="U13" s="32"/>
      <c r="V13" s="32"/>
    </row>
    <row r="14" spans="1:24" s="21" customFormat="1" ht="18.5" x14ac:dyDescent="0.45">
      <c r="A14" s="49"/>
      <c r="B14" s="174"/>
      <c r="C14" s="176"/>
      <c r="D14" s="175"/>
      <c r="E14" s="176"/>
      <c r="F14" s="51"/>
      <c r="G14" s="48"/>
      <c r="H14" s="199"/>
      <c r="I14" s="59"/>
      <c r="J14" s="48"/>
      <c r="K14" s="48"/>
      <c r="L14" s="199"/>
      <c r="M14" s="59"/>
      <c r="N14" s="48"/>
      <c r="O14" s="48"/>
      <c r="P14" s="199"/>
      <c r="Q14" s="32"/>
      <c r="R14" s="32"/>
      <c r="S14" s="32"/>
      <c r="T14" s="32"/>
      <c r="U14" s="32"/>
      <c r="V14" s="32"/>
    </row>
    <row r="15" spans="1:24" s="21" customFormat="1" ht="18.5" x14ac:dyDescent="0.45">
      <c r="A15" s="49">
        <v>2</v>
      </c>
      <c r="B15" s="174" t="s">
        <v>267</v>
      </c>
      <c r="C15" s="176">
        <v>1200</v>
      </c>
      <c r="D15" s="175">
        <v>2400</v>
      </c>
      <c r="E15" s="176">
        <v>1</v>
      </c>
      <c r="F15" s="51" t="s">
        <v>12</v>
      </c>
      <c r="G15" s="48">
        <f t="shared" ref="G15:G43" si="2">I15+J15+L15+K15</f>
        <v>1288.83375</v>
      </c>
      <c r="H15" s="199">
        <f t="shared" ref="H15:H27" si="3">G15*E15</f>
        <v>1288.83375</v>
      </c>
      <c r="I15" s="59">
        <v>355.72500000000002</v>
      </c>
      <c r="J15" s="48">
        <v>765</v>
      </c>
      <c r="K15" s="48">
        <f>IF(F15=0," ",(I15)*([1]Details!$C$4+[1]Details!$C$8))</f>
        <v>53.358750000000015</v>
      </c>
      <c r="L15" s="199">
        <f>IF(F15=0," ",(J15)*([1]Details!$C$6+[1]Details!$C$8))</f>
        <v>114.75000000000001</v>
      </c>
      <c r="M15" s="59">
        <f t="shared" ref="M15:M27" si="4">+I15*E15</f>
        <v>355.72500000000002</v>
      </c>
      <c r="N15" s="48">
        <f t="shared" ref="N15:N27" si="5">+J15*E15</f>
        <v>765</v>
      </c>
      <c r="O15" s="48">
        <f t="shared" ref="O15:O27" si="6">IF(F15=0," ",(K15*E15))</f>
        <v>53.358750000000015</v>
      </c>
      <c r="P15" s="199">
        <f t="shared" ref="P15:P27" si="7">IF(F15=0," ",(L15*E15))</f>
        <v>114.75000000000001</v>
      </c>
      <c r="Q15" s="32"/>
      <c r="R15" s="32"/>
      <c r="S15" s="32"/>
      <c r="T15" s="32"/>
      <c r="U15" s="32"/>
      <c r="V15" s="16"/>
    </row>
    <row r="16" spans="1:24" s="21" customFormat="1" ht="18.5" x14ac:dyDescent="0.45">
      <c r="A16" s="49"/>
      <c r="B16" s="174"/>
      <c r="C16" s="176"/>
      <c r="D16" s="175"/>
      <c r="E16" s="176"/>
      <c r="F16" s="51"/>
      <c r="G16" s="48"/>
      <c r="H16" s="199"/>
      <c r="I16" s="59"/>
      <c r="J16" s="48"/>
      <c r="K16" s="48"/>
      <c r="L16" s="199"/>
      <c r="M16" s="59"/>
      <c r="N16" s="48"/>
      <c r="O16" s="48"/>
      <c r="P16" s="199"/>
      <c r="Q16" s="32"/>
      <c r="R16" s="32"/>
      <c r="S16" s="32"/>
      <c r="T16" s="32"/>
      <c r="U16" s="32"/>
      <c r="V16" s="16"/>
    </row>
    <row r="17" spans="1:22" s="21" customFormat="1" ht="37" x14ac:dyDescent="0.45">
      <c r="A17" s="75">
        <f>IF(F17&lt;&gt;"",(LARGE(A$8:A15,1)+1),"")</f>
        <v>3</v>
      </c>
      <c r="B17" s="150" t="s">
        <v>269</v>
      </c>
      <c r="C17" s="176">
        <v>2000</v>
      </c>
      <c r="D17" s="175">
        <v>2400</v>
      </c>
      <c r="E17" s="176">
        <v>1</v>
      </c>
      <c r="F17" s="51" t="s">
        <v>12</v>
      </c>
      <c r="G17" s="48">
        <f t="shared" si="2"/>
        <v>1322.5287500000002</v>
      </c>
      <c r="H17" s="199">
        <f t="shared" si="3"/>
        <v>1322.5287500000002</v>
      </c>
      <c r="I17" s="59">
        <v>365.02500000000003</v>
      </c>
      <c r="J17" s="48">
        <v>785</v>
      </c>
      <c r="K17" s="48">
        <f>IF(F17=0," ",(I17)*([1]Details!$C$4+[1]Details!$C$8))</f>
        <v>54.753750000000011</v>
      </c>
      <c r="L17" s="199">
        <f>IF(F17=0," ",(J17)*([1]Details!$C$6+[1]Details!$C$8))</f>
        <v>117.75000000000001</v>
      </c>
      <c r="M17" s="59">
        <f t="shared" si="4"/>
        <v>365.02500000000003</v>
      </c>
      <c r="N17" s="48">
        <f t="shared" si="5"/>
        <v>785</v>
      </c>
      <c r="O17" s="48">
        <f t="shared" si="6"/>
        <v>54.753750000000011</v>
      </c>
      <c r="P17" s="199">
        <f t="shared" si="7"/>
        <v>117.75000000000001</v>
      </c>
      <c r="Q17" s="32"/>
      <c r="R17" s="32"/>
      <c r="S17" s="32"/>
      <c r="T17" s="32"/>
      <c r="U17" s="32"/>
      <c r="V17" s="32"/>
    </row>
    <row r="18" spans="1:22" s="21" customFormat="1" ht="18.5" x14ac:dyDescent="0.45">
      <c r="A18" s="75"/>
      <c r="B18" s="174"/>
      <c r="C18" s="176"/>
      <c r="D18" s="175"/>
      <c r="E18" s="176"/>
      <c r="F18" s="51"/>
      <c r="G18" s="48"/>
      <c r="H18" s="199"/>
      <c r="I18" s="59"/>
      <c r="J18" s="48"/>
      <c r="K18" s="48"/>
      <c r="L18" s="199"/>
      <c r="M18" s="59"/>
      <c r="N18" s="48"/>
      <c r="O18" s="48"/>
      <c r="P18" s="199"/>
      <c r="Q18" s="32"/>
      <c r="R18" s="32"/>
      <c r="S18" s="32"/>
      <c r="T18" s="32"/>
      <c r="U18" s="32"/>
      <c r="V18" s="32"/>
    </row>
    <row r="19" spans="1:22" s="21" customFormat="1" ht="18.5" x14ac:dyDescent="0.45">
      <c r="A19" s="75">
        <f>IF(F19&lt;&gt;"",(LARGE(A$8:A17,1)+1),"")</f>
        <v>4</v>
      </c>
      <c r="B19" s="150" t="s">
        <v>270</v>
      </c>
      <c r="C19" s="176">
        <v>1600</v>
      </c>
      <c r="D19" s="175">
        <v>2000</v>
      </c>
      <c r="E19" s="176">
        <v>1</v>
      </c>
      <c r="F19" s="51" t="s">
        <v>12</v>
      </c>
      <c r="G19" s="48">
        <f t="shared" si="2"/>
        <v>1373.07125</v>
      </c>
      <c r="H19" s="199">
        <f t="shared" si="3"/>
        <v>1373.07125</v>
      </c>
      <c r="I19" s="59">
        <v>378.97500000000002</v>
      </c>
      <c r="J19" s="48">
        <v>815</v>
      </c>
      <c r="K19" s="48">
        <f>IF(F19=0," ",(I19)*([1]Details!$C$4+[1]Details!$C$8))</f>
        <v>56.846250000000012</v>
      </c>
      <c r="L19" s="199">
        <f>IF(F19=0," ",(J19)*([1]Details!$C$6+[1]Details!$C$8))</f>
        <v>122.25000000000001</v>
      </c>
      <c r="M19" s="59">
        <f t="shared" si="4"/>
        <v>378.97500000000002</v>
      </c>
      <c r="N19" s="48">
        <f t="shared" si="5"/>
        <v>815</v>
      </c>
      <c r="O19" s="48">
        <f t="shared" si="6"/>
        <v>56.846250000000012</v>
      </c>
      <c r="P19" s="199">
        <f t="shared" si="7"/>
        <v>122.25000000000001</v>
      </c>
      <c r="Q19" s="32"/>
      <c r="R19" s="32"/>
      <c r="S19" s="32"/>
      <c r="T19" s="32"/>
      <c r="U19" s="32"/>
      <c r="V19" s="32"/>
    </row>
    <row r="20" spans="1:22" s="21" customFormat="1" ht="18.5" x14ac:dyDescent="0.45">
      <c r="A20" s="75"/>
      <c r="B20" s="174"/>
      <c r="C20" s="176"/>
      <c r="D20" s="175"/>
      <c r="E20" s="176"/>
      <c r="F20" s="51"/>
      <c r="G20" s="48"/>
      <c r="H20" s="199"/>
      <c r="I20" s="59"/>
      <c r="J20" s="48"/>
      <c r="K20" s="48"/>
      <c r="L20" s="199"/>
      <c r="M20" s="59"/>
      <c r="N20" s="48"/>
      <c r="O20" s="48"/>
      <c r="P20" s="199"/>
      <c r="Q20" s="32"/>
      <c r="R20" s="32"/>
      <c r="S20" s="32"/>
      <c r="T20" s="32"/>
      <c r="U20" s="32"/>
      <c r="V20" s="32"/>
    </row>
    <row r="21" spans="1:22" s="21" customFormat="1" ht="18.5" x14ac:dyDescent="0.45">
      <c r="A21" s="75">
        <f>IF(F21&lt;&gt;"",(LARGE(A$8:A19,1)+1),"")</f>
        <v>5</v>
      </c>
      <c r="B21" s="150" t="s">
        <v>271</v>
      </c>
      <c r="C21" s="176">
        <v>2900</v>
      </c>
      <c r="D21" s="175">
        <v>2000</v>
      </c>
      <c r="E21" s="176">
        <v>2</v>
      </c>
      <c r="F21" s="51" t="s">
        <v>12</v>
      </c>
      <c r="G21" s="48">
        <f t="shared" si="2"/>
        <v>1423.61375</v>
      </c>
      <c r="H21" s="199">
        <f t="shared" si="3"/>
        <v>2847.2275</v>
      </c>
      <c r="I21" s="59">
        <v>392.92500000000001</v>
      </c>
      <c r="J21" s="48">
        <v>845</v>
      </c>
      <c r="K21" s="48">
        <f>IF(F21=0," ",(I21)*([1]Details!$C$4+[1]Details!$C$8))</f>
        <v>58.938750000000013</v>
      </c>
      <c r="L21" s="199">
        <f>IF(F21=0," ",(J21)*([1]Details!$C$6+[1]Details!$C$8))</f>
        <v>126.75000000000001</v>
      </c>
      <c r="M21" s="59">
        <f t="shared" si="4"/>
        <v>785.85</v>
      </c>
      <c r="N21" s="48">
        <f t="shared" si="5"/>
        <v>1690</v>
      </c>
      <c r="O21" s="48">
        <f t="shared" si="6"/>
        <v>117.87750000000003</v>
      </c>
      <c r="P21" s="199">
        <f t="shared" si="7"/>
        <v>253.50000000000003</v>
      </c>
      <c r="Q21" s="32"/>
      <c r="R21" s="32"/>
      <c r="S21" s="32"/>
      <c r="T21" s="32"/>
      <c r="U21" s="32"/>
      <c r="V21" s="32"/>
    </row>
    <row r="22" spans="1:22" s="21" customFormat="1" ht="18.5" x14ac:dyDescent="0.45">
      <c r="A22" s="75"/>
      <c r="B22" s="174"/>
      <c r="C22" s="176"/>
      <c r="D22" s="175"/>
      <c r="E22" s="176"/>
      <c r="F22" s="51"/>
      <c r="G22" s="48"/>
      <c r="H22" s="199"/>
      <c r="I22" s="59"/>
      <c r="J22" s="48"/>
      <c r="K22" s="48"/>
      <c r="L22" s="199"/>
      <c r="M22" s="59"/>
      <c r="N22" s="48"/>
      <c r="O22" s="48"/>
      <c r="P22" s="199"/>
      <c r="Q22" s="32"/>
      <c r="R22" s="32"/>
      <c r="S22" s="32"/>
      <c r="T22" s="32"/>
      <c r="U22" s="32"/>
      <c r="V22" s="32"/>
    </row>
    <row r="23" spans="1:22" s="21" customFormat="1" ht="18.5" x14ac:dyDescent="0.45">
      <c r="A23" s="75">
        <f>IF(F23&lt;&gt;"",(LARGE(A$8:A21,1)+1),"")</f>
        <v>6</v>
      </c>
      <c r="B23" s="174" t="s">
        <v>272</v>
      </c>
      <c r="C23" s="176">
        <v>4800</v>
      </c>
      <c r="D23" s="175">
        <v>2400</v>
      </c>
      <c r="E23" s="176">
        <v>1</v>
      </c>
      <c r="F23" s="51" t="s">
        <v>12</v>
      </c>
      <c r="G23" s="48">
        <f t="shared" si="2"/>
        <v>2442.8874999999998</v>
      </c>
      <c r="H23" s="199">
        <f t="shared" si="3"/>
        <v>2442.8874999999998</v>
      </c>
      <c r="I23" s="59">
        <v>674.25</v>
      </c>
      <c r="J23" s="48">
        <v>1450</v>
      </c>
      <c r="K23" s="48">
        <f>IF(F23=0," ",(I23)*([1]Details!$C$4+[1]Details!$C$8))</f>
        <v>101.13750000000002</v>
      </c>
      <c r="L23" s="199">
        <f>IF(F23=0," ",(J23)*([1]Details!$C$6+[1]Details!$C$8))</f>
        <v>217.50000000000003</v>
      </c>
      <c r="M23" s="59">
        <f t="shared" si="4"/>
        <v>674.25</v>
      </c>
      <c r="N23" s="48">
        <f t="shared" si="5"/>
        <v>1450</v>
      </c>
      <c r="O23" s="48">
        <f t="shared" si="6"/>
        <v>101.13750000000002</v>
      </c>
      <c r="P23" s="199">
        <f t="shared" si="7"/>
        <v>217.50000000000003</v>
      </c>
      <c r="Q23" s="32"/>
      <c r="R23" s="32"/>
      <c r="S23" s="32"/>
      <c r="T23" s="32"/>
      <c r="U23" s="32"/>
      <c r="V23" s="32"/>
    </row>
    <row r="24" spans="1:22" s="21" customFormat="1" ht="18.5" x14ac:dyDescent="0.45">
      <c r="A24" s="75"/>
      <c r="B24" s="174"/>
      <c r="C24" s="176"/>
      <c r="D24" s="175"/>
      <c r="E24" s="176"/>
      <c r="F24" s="51"/>
      <c r="G24" s="48"/>
      <c r="H24" s="199"/>
      <c r="I24" s="59"/>
      <c r="J24" s="48"/>
      <c r="K24" s="48"/>
      <c r="L24" s="199"/>
      <c r="M24" s="59"/>
      <c r="N24" s="48"/>
      <c r="O24" s="48"/>
      <c r="P24" s="199"/>
      <c r="Q24" s="32"/>
      <c r="R24" s="32"/>
      <c r="S24" s="32"/>
      <c r="T24" s="32"/>
      <c r="U24" s="32"/>
      <c r="V24" s="32"/>
    </row>
    <row r="25" spans="1:22" s="21" customFormat="1" ht="18.5" x14ac:dyDescent="0.45">
      <c r="A25" s="75">
        <f>IF(F25&lt;&gt;"",(LARGE(A$8:A23,1)+1),"")</f>
        <v>7</v>
      </c>
      <c r="B25" s="174" t="s">
        <v>273</v>
      </c>
      <c r="C25" s="176">
        <v>1200</v>
      </c>
      <c r="D25" s="175">
        <v>1900</v>
      </c>
      <c r="E25" s="176">
        <v>2</v>
      </c>
      <c r="F25" s="51" t="s">
        <v>12</v>
      </c>
      <c r="G25" s="48">
        <f t="shared" si="2"/>
        <v>1937.4625000000001</v>
      </c>
      <c r="H25" s="199">
        <f t="shared" si="3"/>
        <v>3874.9250000000002</v>
      </c>
      <c r="I25" s="59">
        <v>534.75</v>
      </c>
      <c r="J25" s="48">
        <v>1150</v>
      </c>
      <c r="K25" s="48">
        <f>IF(F25=0," ",(I25)*([1]Details!$C$4+[1]Details!$C$8))</f>
        <v>80.212500000000006</v>
      </c>
      <c r="L25" s="199">
        <f>IF(F25=0," ",(J25)*([1]Details!$C$6+[1]Details!$C$8))</f>
        <v>172.50000000000003</v>
      </c>
      <c r="M25" s="59">
        <f t="shared" si="4"/>
        <v>1069.5</v>
      </c>
      <c r="N25" s="48">
        <f t="shared" si="5"/>
        <v>2300</v>
      </c>
      <c r="O25" s="48">
        <f t="shared" si="6"/>
        <v>160.42500000000001</v>
      </c>
      <c r="P25" s="199">
        <f t="shared" si="7"/>
        <v>345.00000000000006</v>
      </c>
      <c r="Q25" s="32"/>
      <c r="R25" s="32"/>
      <c r="S25" s="32"/>
      <c r="T25" s="32"/>
      <c r="U25" s="32"/>
      <c r="V25" s="32"/>
    </row>
    <row r="26" spans="1:22" s="21" customFormat="1" ht="18.5" x14ac:dyDescent="0.45">
      <c r="A26" s="75"/>
      <c r="B26" s="174"/>
      <c r="C26" s="176"/>
      <c r="D26" s="175"/>
      <c r="E26" s="176"/>
      <c r="F26" s="51"/>
      <c r="G26" s="48"/>
      <c r="H26" s="199"/>
      <c r="I26" s="59"/>
      <c r="J26" s="48"/>
      <c r="K26" s="48"/>
      <c r="L26" s="199"/>
      <c r="M26" s="59"/>
      <c r="N26" s="48"/>
      <c r="O26" s="48"/>
      <c r="P26" s="199"/>
      <c r="Q26" s="32"/>
      <c r="R26" s="32"/>
      <c r="S26" s="32"/>
      <c r="T26" s="32"/>
      <c r="U26" s="32"/>
      <c r="V26" s="32"/>
    </row>
    <row r="27" spans="1:22" s="21" customFormat="1" ht="18.5" x14ac:dyDescent="0.45">
      <c r="A27" s="75">
        <f>IF(F27&lt;&gt;"",(LARGE(A$8:A25,1)+1),"")</f>
        <v>8</v>
      </c>
      <c r="B27" s="174" t="s">
        <v>274</v>
      </c>
      <c r="C27" s="176">
        <v>1700</v>
      </c>
      <c r="D27" s="175">
        <v>1900</v>
      </c>
      <c r="E27" s="176">
        <v>1</v>
      </c>
      <c r="F27" s="51" t="s">
        <v>12</v>
      </c>
      <c r="G27" s="48">
        <f t="shared" si="2"/>
        <v>1625.7837499999998</v>
      </c>
      <c r="H27" s="199">
        <f t="shared" si="3"/>
        <v>1625.7837499999998</v>
      </c>
      <c r="I27" s="59">
        <v>448.72500000000002</v>
      </c>
      <c r="J27" s="48">
        <v>965</v>
      </c>
      <c r="K27" s="48">
        <f>IF(F27=0," ",(I27)*([1]Details!$C$4+[1]Details!$C$8))</f>
        <v>67.308750000000018</v>
      </c>
      <c r="L27" s="199">
        <f>IF(F27=0," ",(J27)*([1]Details!$C$6+[1]Details!$C$8))</f>
        <v>144.75000000000003</v>
      </c>
      <c r="M27" s="59">
        <f t="shared" si="4"/>
        <v>448.72500000000002</v>
      </c>
      <c r="N27" s="48">
        <f t="shared" si="5"/>
        <v>965</v>
      </c>
      <c r="O27" s="48">
        <f t="shared" si="6"/>
        <v>67.308750000000018</v>
      </c>
      <c r="P27" s="199">
        <f t="shared" si="7"/>
        <v>144.75000000000003</v>
      </c>
      <c r="Q27" s="32"/>
      <c r="R27" s="32"/>
      <c r="S27" s="32"/>
      <c r="T27" s="32"/>
      <c r="U27" s="32"/>
      <c r="V27" s="32"/>
    </row>
    <row r="28" spans="1:22" s="21" customFormat="1" ht="18.5" x14ac:dyDescent="0.45">
      <c r="A28" s="75" t="str">
        <f>IF(F28&lt;&gt;"",(LARGE(A$8:A27,1)+1),"")</f>
        <v/>
      </c>
      <c r="B28" s="174"/>
      <c r="C28" s="169"/>
      <c r="D28" s="169"/>
      <c r="E28" s="144"/>
      <c r="F28" s="51"/>
      <c r="G28" s="48"/>
      <c r="H28" s="199"/>
      <c r="I28" s="59"/>
      <c r="J28" s="48"/>
      <c r="K28" s="48"/>
      <c r="L28" s="199"/>
      <c r="M28" s="48"/>
      <c r="N28" s="48"/>
      <c r="O28" s="48"/>
      <c r="P28" s="199"/>
      <c r="Q28" s="32"/>
      <c r="R28" s="32"/>
      <c r="S28" s="32"/>
      <c r="T28" s="32"/>
      <c r="U28" s="32"/>
      <c r="V28" s="16"/>
    </row>
    <row r="29" spans="1:22" s="21" customFormat="1" ht="37" x14ac:dyDescent="0.45">
      <c r="A29" s="75" t="str">
        <f>IF(F29&lt;&gt;"",(LARGE(A$8:A28,1)+1),"")</f>
        <v/>
      </c>
      <c r="B29" s="170" t="s">
        <v>275</v>
      </c>
      <c r="C29" s="171" t="s">
        <v>76</v>
      </c>
      <c r="D29" s="171" t="s">
        <v>77</v>
      </c>
      <c r="E29" s="144"/>
      <c r="F29" s="51"/>
      <c r="G29" s="48"/>
      <c r="H29" s="199"/>
      <c r="I29" s="59"/>
      <c r="J29" s="48"/>
      <c r="K29" s="48" t="str">
        <f>IF(F29=0," ",(I29)*([1]Details!$C$4+[1]Details!$C$8))</f>
        <v xml:space="preserve"> </v>
      </c>
      <c r="L29" s="199" t="str">
        <f>IF(F29=0," ",(J29)*([1]Details!$C$6+[1]Details!$C$8))</f>
        <v xml:space="preserve"> </v>
      </c>
      <c r="M29" s="59"/>
      <c r="N29" s="48"/>
      <c r="O29" s="48" t="str">
        <f t="shared" ref="O29" si="8">IF(F29=0," ",(K29*E29))</f>
        <v xml:space="preserve"> </v>
      </c>
      <c r="P29" s="199" t="str">
        <f t="shared" ref="P29" si="9">IF(F29=0," ",(L29*E29))</f>
        <v xml:space="preserve"> </v>
      </c>
      <c r="Q29" s="32"/>
      <c r="R29" s="32"/>
      <c r="S29" s="32"/>
      <c r="T29" s="32"/>
      <c r="U29" s="32"/>
      <c r="V29" s="16"/>
    </row>
    <row r="30" spans="1:22" s="21" customFormat="1" ht="18.5" x14ac:dyDescent="0.45">
      <c r="A30" s="75" t="str">
        <f>IF(F30&lt;&gt;"",(LARGE(A$8:A29,1)+1),"")</f>
        <v/>
      </c>
      <c r="B30" s="174"/>
      <c r="C30" s="169"/>
      <c r="D30" s="175"/>
      <c r="E30" s="144"/>
      <c r="F30" s="51"/>
      <c r="G30" s="48"/>
      <c r="H30" s="199"/>
      <c r="I30" s="59"/>
      <c r="J30" s="173"/>
      <c r="K30" s="48"/>
      <c r="L30" s="199"/>
      <c r="M30" s="48"/>
      <c r="N30" s="48"/>
      <c r="O30" s="48"/>
      <c r="P30" s="199"/>
      <c r="Q30" s="32"/>
      <c r="R30" s="32"/>
      <c r="S30" s="32"/>
      <c r="T30" s="32"/>
      <c r="U30" s="32"/>
      <c r="V30" s="16"/>
    </row>
    <row r="31" spans="1:22" s="21" customFormat="1" ht="18.5" x14ac:dyDescent="0.45">
      <c r="A31" s="75">
        <f>IF(F31&lt;&gt;"",(LARGE(A$8:A30,1)+1),"")</f>
        <v>9</v>
      </c>
      <c r="B31" s="174" t="s">
        <v>276</v>
      </c>
      <c r="C31" s="176">
        <v>900</v>
      </c>
      <c r="D31" s="175">
        <v>1600</v>
      </c>
      <c r="E31" s="176">
        <v>5</v>
      </c>
      <c r="F31" s="51" t="s">
        <v>12</v>
      </c>
      <c r="G31" s="48">
        <f t="shared" si="2"/>
        <v>918.18874999999991</v>
      </c>
      <c r="H31" s="199">
        <f t="shared" ref="H31:H43" si="10">G31*E31</f>
        <v>4590.9437499999995</v>
      </c>
      <c r="I31" s="59">
        <v>253.42500000000001</v>
      </c>
      <c r="J31" s="48">
        <v>545</v>
      </c>
      <c r="K31" s="48">
        <f>IF(F31=0," ",(I31)*([1]Details!$C$4+[1]Details!$C$8))</f>
        <v>38.013750000000009</v>
      </c>
      <c r="L31" s="199">
        <f>IF(F31=0," ",(J31)*([1]Details!$C$6+[1]Details!$C$8))</f>
        <v>81.750000000000014</v>
      </c>
      <c r="M31" s="59">
        <f t="shared" ref="M31:M43" si="11">+I31*E31</f>
        <v>1267.125</v>
      </c>
      <c r="N31" s="48">
        <f t="shared" ref="N31:N43" si="12">+J31*E31</f>
        <v>2725</v>
      </c>
      <c r="O31" s="48">
        <f t="shared" ref="O31:O43" si="13">IF(F31=0," ",(K31*E31))</f>
        <v>190.06875000000005</v>
      </c>
      <c r="P31" s="199">
        <f t="shared" ref="P31:P43" si="14">IF(F31=0," ",(L31*E31))</f>
        <v>408.75000000000006</v>
      </c>
      <c r="Q31" s="32"/>
      <c r="R31" s="32"/>
      <c r="S31" s="32"/>
      <c r="T31" s="32"/>
      <c r="U31" s="32"/>
      <c r="V31" s="32"/>
    </row>
    <row r="32" spans="1:22" s="21" customFormat="1" ht="18.5" x14ac:dyDescent="0.45">
      <c r="A32" s="75"/>
      <c r="B32" s="174"/>
      <c r="C32" s="176"/>
      <c r="D32" s="175"/>
      <c r="E32" s="176"/>
      <c r="F32" s="51"/>
      <c r="G32" s="48"/>
      <c r="H32" s="199"/>
      <c r="I32" s="59"/>
      <c r="J32" s="48"/>
      <c r="K32" s="48"/>
      <c r="L32" s="199"/>
      <c r="M32" s="59"/>
      <c r="N32" s="48"/>
      <c r="O32" s="48"/>
      <c r="P32" s="199"/>
      <c r="Q32" s="32"/>
      <c r="R32" s="32"/>
      <c r="S32" s="32"/>
      <c r="T32" s="32"/>
      <c r="U32" s="32"/>
      <c r="V32" s="32"/>
    </row>
    <row r="33" spans="1:24" s="21" customFormat="1" ht="18.5" x14ac:dyDescent="0.45">
      <c r="A33" s="75">
        <f>IF(F33&lt;&gt;"",(LARGE(A$8:A31,1)+1),"")</f>
        <v>10</v>
      </c>
      <c r="B33" s="174" t="s">
        <v>277</v>
      </c>
      <c r="C33" s="176">
        <v>5900</v>
      </c>
      <c r="D33" s="175">
        <v>2400</v>
      </c>
      <c r="E33" s="176">
        <v>1</v>
      </c>
      <c r="F33" s="51" t="s">
        <v>12</v>
      </c>
      <c r="G33" s="48">
        <f t="shared" si="2"/>
        <v>2105.9375</v>
      </c>
      <c r="H33" s="199">
        <f t="shared" si="10"/>
        <v>2105.9375</v>
      </c>
      <c r="I33" s="59">
        <v>581.25</v>
      </c>
      <c r="J33" s="48">
        <v>1250</v>
      </c>
      <c r="K33" s="48">
        <f>IF(F33=0," ",(I33)*([1]Details!$C$4+[1]Details!$C$8))</f>
        <v>87.187500000000014</v>
      </c>
      <c r="L33" s="199">
        <f>IF(F33=0," ",(J33)*([1]Details!$C$6+[1]Details!$C$8))</f>
        <v>187.50000000000003</v>
      </c>
      <c r="M33" s="59">
        <f t="shared" si="11"/>
        <v>581.25</v>
      </c>
      <c r="N33" s="48">
        <f t="shared" si="12"/>
        <v>1250</v>
      </c>
      <c r="O33" s="48">
        <f t="shared" si="13"/>
        <v>87.187500000000014</v>
      </c>
      <c r="P33" s="199">
        <f t="shared" si="14"/>
        <v>187.50000000000003</v>
      </c>
      <c r="Q33" s="32"/>
      <c r="R33" s="32"/>
      <c r="S33" s="32"/>
      <c r="T33" s="32"/>
      <c r="U33" s="32"/>
      <c r="V33" s="16"/>
    </row>
    <row r="34" spans="1:24" s="21" customFormat="1" ht="18.5" x14ac:dyDescent="0.45">
      <c r="A34" s="75"/>
      <c r="B34" s="174"/>
      <c r="C34" s="176"/>
      <c r="D34" s="175"/>
      <c r="E34" s="176"/>
      <c r="F34" s="51"/>
      <c r="G34" s="48"/>
      <c r="H34" s="199"/>
      <c r="I34" s="59"/>
      <c r="J34" s="48"/>
      <c r="K34" s="48"/>
      <c r="L34" s="199"/>
      <c r="M34" s="59"/>
      <c r="N34" s="48"/>
      <c r="O34" s="48"/>
      <c r="P34" s="199"/>
      <c r="Q34" s="32"/>
      <c r="R34" s="32"/>
      <c r="S34" s="32"/>
      <c r="T34" s="32"/>
      <c r="U34" s="32"/>
      <c r="V34" s="16"/>
    </row>
    <row r="35" spans="1:24" s="21" customFormat="1" ht="18.5" x14ac:dyDescent="0.45">
      <c r="A35" s="75">
        <f>IF(F35&lt;&gt;"",(LARGE(A$8:A33,1)+1),"")</f>
        <v>11</v>
      </c>
      <c r="B35" s="174" t="s">
        <v>276</v>
      </c>
      <c r="C35" s="176">
        <v>700</v>
      </c>
      <c r="D35" s="175">
        <v>1600</v>
      </c>
      <c r="E35" s="176">
        <v>2</v>
      </c>
      <c r="F35" s="51" t="s">
        <v>12</v>
      </c>
      <c r="G35" s="48">
        <f t="shared" si="2"/>
        <v>867.64625000000001</v>
      </c>
      <c r="H35" s="199">
        <f t="shared" si="10"/>
        <v>1735.2925</v>
      </c>
      <c r="I35" s="59">
        <v>239.47500000000002</v>
      </c>
      <c r="J35" s="48">
        <v>515</v>
      </c>
      <c r="K35" s="48">
        <f>IF(F35=0," ",(I35)*([1]Details!$C$4+[1]Details!$C$8))</f>
        <v>35.921250000000008</v>
      </c>
      <c r="L35" s="199">
        <f>IF(F35=0," ",(J35)*([1]Details!$C$6+[1]Details!$C$8))</f>
        <v>77.250000000000014</v>
      </c>
      <c r="M35" s="59">
        <f t="shared" si="11"/>
        <v>478.95000000000005</v>
      </c>
      <c r="N35" s="48">
        <f t="shared" si="12"/>
        <v>1030</v>
      </c>
      <c r="O35" s="48">
        <f t="shared" si="13"/>
        <v>71.842500000000015</v>
      </c>
      <c r="P35" s="199">
        <f t="shared" si="14"/>
        <v>154.50000000000003</v>
      </c>
      <c r="Q35" s="32"/>
      <c r="R35" s="32"/>
      <c r="S35" s="32"/>
      <c r="T35" s="32"/>
      <c r="U35" s="32"/>
      <c r="V35" s="16"/>
    </row>
    <row r="36" spans="1:24" s="21" customFormat="1" ht="18.5" x14ac:dyDescent="0.45">
      <c r="A36" s="75"/>
      <c r="B36" s="174"/>
      <c r="C36" s="176"/>
      <c r="D36" s="175"/>
      <c r="E36" s="176"/>
      <c r="F36" s="51"/>
      <c r="G36" s="48"/>
      <c r="H36" s="199"/>
      <c r="I36" s="59"/>
      <c r="J36" s="48"/>
      <c r="K36" s="48"/>
      <c r="L36" s="199"/>
      <c r="M36" s="59"/>
      <c r="N36" s="48"/>
      <c r="O36" s="48"/>
      <c r="P36" s="199"/>
      <c r="Q36" s="32"/>
      <c r="R36" s="32"/>
      <c r="S36" s="32"/>
      <c r="T36" s="32"/>
      <c r="U36" s="32"/>
      <c r="V36" s="16"/>
    </row>
    <row r="37" spans="1:24" s="21" customFormat="1" ht="18.5" x14ac:dyDescent="0.45">
      <c r="A37" s="75">
        <f>IF(F37&lt;&gt;"",(LARGE(A$8:A35,1)+1),"")</f>
        <v>12</v>
      </c>
      <c r="B37" s="174" t="s">
        <v>276</v>
      </c>
      <c r="C37" s="176">
        <v>700</v>
      </c>
      <c r="D37" s="175">
        <v>1800</v>
      </c>
      <c r="E37" s="176">
        <v>2</v>
      </c>
      <c r="F37" s="51" t="s">
        <v>12</v>
      </c>
      <c r="G37" s="48">
        <f t="shared" si="2"/>
        <v>901.34124999999995</v>
      </c>
      <c r="H37" s="199">
        <f t="shared" si="10"/>
        <v>1802.6824999999999</v>
      </c>
      <c r="I37" s="59">
        <v>248.77500000000001</v>
      </c>
      <c r="J37" s="48">
        <v>535</v>
      </c>
      <c r="K37" s="48">
        <f>IF(F37=0," ",(I37)*([1]Details!$C$4+[1]Details!$C$8))</f>
        <v>37.316250000000004</v>
      </c>
      <c r="L37" s="199">
        <f>IF(F37=0," ",(J37)*([1]Details!$C$6+[1]Details!$C$8))</f>
        <v>80.250000000000014</v>
      </c>
      <c r="M37" s="59">
        <f t="shared" si="11"/>
        <v>497.55</v>
      </c>
      <c r="N37" s="48">
        <f t="shared" si="12"/>
        <v>1070</v>
      </c>
      <c r="O37" s="48">
        <f t="shared" si="13"/>
        <v>74.632500000000007</v>
      </c>
      <c r="P37" s="199">
        <f t="shared" si="14"/>
        <v>160.50000000000003</v>
      </c>
      <c r="Q37" s="32"/>
      <c r="R37" s="32"/>
      <c r="S37" s="32"/>
      <c r="T37" s="32"/>
      <c r="U37" s="32"/>
      <c r="V37" s="16"/>
    </row>
    <row r="38" spans="1:24" s="21" customFormat="1" ht="18.5" x14ac:dyDescent="0.45">
      <c r="A38" s="75"/>
      <c r="B38" s="174"/>
      <c r="C38" s="176"/>
      <c r="D38" s="175"/>
      <c r="E38" s="176"/>
      <c r="F38" s="51"/>
      <c r="G38" s="48"/>
      <c r="H38" s="199"/>
      <c r="I38" s="59"/>
      <c r="J38" s="48"/>
      <c r="K38" s="48"/>
      <c r="L38" s="199"/>
      <c r="M38" s="59"/>
      <c r="N38" s="48"/>
      <c r="O38" s="48"/>
      <c r="P38" s="199"/>
      <c r="Q38" s="32"/>
      <c r="R38" s="32"/>
      <c r="S38" s="32"/>
      <c r="T38" s="32"/>
      <c r="U38" s="32"/>
      <c r="V38" s="16"/>
    </row>
    <row r="39" spans="1:24" s="21" customFormat="1" ht="18.5" x14ac:dyDescent="0.45">
      <c r="A39" s="75">
        <f>IF(F39&lt;&gt;"",(LARGE(A$8:A37,1)+1),"")</f>
        <v>13</v>
      </c>
      <c r="B39" s="174" t="s">
        <v>276</v>
      </c>
      <c r="C39" s="176">
        <v>1900</v>
      </c>
      <c r="D39" s="175">
        <v>1700</v>
      </c>
      <c r="E39" s="176">
        <v>2</v>
      </c>
      <c r="F39" s="51" t="s">
        <v>12</v>
      </c>
      <c r="G39" s="48">
        <f t="shared" si="2"/>
        <v>1086.6637499999999</v>
      </c>
      <c r="H39" s="199">
        <f t="shared" si="10"/>
        <v>2173.3274999999999</v>
      </c>
      <c r="I39" s="59">
        <v>299.92500000000001</v>
      </c>
      <c r="J39" s="48">
        <v>645</v>
      </c>
      <c r="K39" s="48">
        <f>IF(F39=0," ",(I39)*([1]Details!$C$4+[1]Details!$C$8))</f>
        <v>44.98875000000001</v>
      </c>
      <c r="L39" s="199">
        <f>IF(F39=0," ",(J39)*([1]Details!$C$6+[1]Details!$C$8))</f>
        <v>96.750000000000014</v>
      </c>
      <c r="M39" s="59">
        <f t="shared" si="11"/>
        <v>599.85</v>
      </c>
      <c r="N39" s="48">
        <f t="shared" si="12"/>
        <v>1290</v>
      </c>
      <c r="O39" s="48">
        <f t="shared" si="13"/>
        <v>89.97750000000002</v>
      </c>
      <c r="P39" s="199">
        <f t="shared" si="14"/>
        <v>193.50000000000003</v>
      </c>
      <c r="Q39" s="32"/>
      <c r="R39" s="32"/>
      <c r="S39" s="32"/>
      <c r="T39" s="32"/>
      <c r="U39" s="32"/>
      <c r="V39" s="16"/>
    </row>
    <row r="40" spans="1:24" s="21" customFormat="1" ht="18.5" x14ac:dyDescent="0.45">
      <c r="A40" s="75"/>
      <c r="B40" s="174"/>
      <c r="C40" s="176"/>
      <c r="D40" s="175"/>
      <c r="E40" s="176"/>
      <c r="F40" s="51"/>
      <c r="G40" s="48"/>
      <c r="H40" s="199"/>
      <c r="I40" s="59"/>
      <c r="J40" s="48"/>
      <c r="K40" s="48"/>
      <c r="L40" s="199"/>
      <c r="M40" s="59"/>
      <c r="N40" s="48"/>
      <c r="O40" s="48"/>
      <c r="P40" s="199"/>
      <c r="Q40" s="32"/>
      <c r="R40" s="32"/>
      <c r="S40" s="32"/>
      <c r="T40" s="32"/>
      <c r="U40" s="32"/>
      <c r="V40" s="16"/>
    </row>
    <row r="41" spans="1:24" s="21" customFormat="1" ht="18.5" x14ac:dyDescent="0.45">
      <c r="A41" s="75">
        <f>IF(F41&lt;&gt;"",(LARGE(A$8:A39,1)+1),"")</f>
        <v>14</v>
      </c>
      <c r="B41" s="174" t="s">
        <v>278</v>
      </c>
      <c r="C41" s="176">
        <v>2700</v>
      </c>
      <c r="D41" s="175">
        <v>1600</v>
      </c>
      <c r="E41" s="176">
        <v>1</v>
      </c>
      <c r="F41" s="51" t="s">
        <v>12</v>
      </c>
      <c r="G41" s="48">
        <f t="shared" si="2"/>
        <v>1221.4437499999999</v>
      </c>
      <c r="H41" s="199">
        <f t="shared" si="10"/>
        <v>1221.4437499999999</v>
      </c>
      <c r="I41" s="59">
        <v>337.125</v>
      </c>
      <c r="J41" s="48">
        <v>725</v>
      </c>
      <c r="K41" s="48">
        <f>IF(F41=0," ",(I41)*([1]Details!$C$4+[1]Details!$C$8))</f>
        <v>50.568750000000009</v>
      </c>
      <c r="L41" s="199">
        <f>IF(F41=0," ",(J41)*([1]Details!$C$6+[1]Details!$C$8))</f>
        <v>108.75000000000001</v>
      </c>
      <c r="M41" s="59">
        <f t="shared" si="11"/>
        <v>337.125</v>
      </c>
      <c r="N41" s="48">
        <f t="shared" si="12"/>
        <v>725</v>
      </c>
      <c r="O41" s="48">
        <f t="shared" si="13"/>
        <v>50.568750000000009</v>
      </c>
      <c r="P41" s="199">
        <f t="shared" si="14"/>
        <v>108.75000000000001</v>
      </c>
      <c r="Q41" s="32"/>
      <c r="R41" s="32"/>
      <c r="S41" s="32"/>
      <c r="T41" s="32"/>
      <c r="U41" s="32"/>
      <c r="V41" s="16"/>
    </row>
    <row r="42" spans="1:24" s="21" customFormat="1" ht="18.5" x14ac:dyDescent="0.45">
      <c r="A42" s="75"/>
      <c r="B42" s="174"/>
      <c r="C42" s="176"/>
      <c r="D42" s="175"/>
      <c r="E42" s="176"/>
      <c r="F42" s="51"/>
      <c r="G42" s="48"/>
      <c r="H42" s="199"/>
      <c r="I42" s="59"/>
      <c r="J42" s="48"/>
      <c r="K42" s="48"/>
      <c r="L42" s="199"/>
      <c r="M42" s="59"/>
      <c r="N42" s="48"/>
      <c r="O42" s="48"/>
      <c r="P42" s="199"/>
      <c r="Q42" s="32"/>
      <c r="R42" s="32"/>
      <c r="S42" s="32"/>
      <c r="T42" s="32"/>
      <c r="U42" s="32"/>
      <c r="V42" s="16"/>
    </row>
    <row r="43" spans="1:24" s="21" customFormat="1" ht="18.5" x14ac:dyDescent="0.45">
      <c r="A43" s="75">
        <f>IF(F43&lt;&gt;"",(LARGE(A$8:A41,1)+1),"")</f>
        <v>15</v>
      </c>
      <c r="B43" s="174" t="s">
        <v>279</v>
      </c>
      <c r="C43" s="176">
        <v>2000</v>
      </c>
      <c r="D43" s="175">
        <v>1600</v>
      </c>
      <c r="E43" s="176">
        <v>1</v>
      </c>
      <c r="F43" s="51" t="s">
        <v>12</v>
      </c>
      <c r="G43" s="48">
        <f t="shared" si="2"/>
        <v>1423.61375</v>
      </c>
      <c r="H43" s="199">
        <f t="shared" si="10"/>
        <v>1423.61375</v>
      </c>
      <c r="I43" s="59">
        <v>392.92500000000001</v>
      </c>
      <c r="J43" s="48">
        <v>845</v>
      </c>
      <c r="K43" s="48">
        <f>IF(F43=0," ",(I43)*([1]Details!$C$4+[1]Details!$C$8))</f>
        <v>58.938750000000013</v>
      </c>
      <c r="L43" s="199">
        <f>IF(F43=0," ",(J43)*([1]Details!$C$6+[1]Details!$C$8))</f>
        <v>126.75000000000001</v>
      </c>
      <c r="M43" s="59">
        <f t="shared" si="11"/>
        <v>392.92500000000001</v>
      </c>
      <c r="N43" s="48">
        <f t="shared" si="12"/>
        <v>845</v>
      </c>
      <c r="O43" s="48">
        <f t="shared" si="13"/>
        <v>58.938750000000013</v>
      </c>
      <c r="P43" s="199">
        <f t="shared" si="14"/>
        <v>126.75000000000001</v>
      </c>
      <c r="Q43" s="32"/>
      <c r="R43" s="32"/>
      <c r="S43" s="32"/>
      <c r="T43" s="32"/>
      <c r="U43" s="32"/>
      <c r="V43" s="16"/>
    </row>
    <row r="44" spans="1:24" s="21" customFormat="1" ht="18.5" x14ac:dyDescent="0.45">
      <c r="A44" s="75" t="str">
        <f>IF(F44&lt;&gt;"",(LARGE(A$8:A43,1)+1),"")</f>
        <v/>
      </c>
      <c r="B44" s="174"/>
      <c r="C44" s="169"/>
      <c r="D44" s="178"/>
      <c r="E44" s="144"/>
      <c r="F44" s="51"/>
      <c r="G44" s="48"/>
      <c r="H44" s="199"/>
      <c r="I44" s="214"/>
      <c r="J44" s="20"/>
      <c r="K44" s="48" t="str">
        <f>IF(F44=0," ",(I44)*(Details!$C$4+Details!$C$8))</f>
        <v xml:space="preserve"> </v>
      </c>
      <c r="L44" s="199" t="str">
        <f>IF(F44=0," ",(J44)*(Details!$C$6+Details!$C$8))</f>
        <v xml:space="preserve"> </v>
      </c>
      <c r="M44" s="59"/>
      <c r="N44" s="48"/>
      <c r="O44" s="48"/>
      <c r="P44" s="199"/>
      <c r="Q44" s="69"/>
      <c r="R44" s="69"/>
      <c r="S44" s="69"/>
      <c r="T44" s="69"/>
      <c r="U44" s="68"/>
    </row>
    <row r="45" spans="1:24" s="21" customFormat="1" ht="18" customHeight="1" thickBot="1" x14ac:dyDescent="0.5">
      <c r="A45" s="75" t="str">
        <f>IF(F45=0," ",(LARGE(A$44:A44,1)+1))</f>
        <v xml:space="preserve"> </v>
      </c>
      <c r="B45" s="177"/>
      <c r="C45" s="176"/>
      <c r="D45" s="179"/>
      <c r="E45" s="144"/>
      <c r="F45" s="60"/>
      <c r="G45" s="62" t="s">
        <v>97</v>
      </c>
      <c r="H45" s="200">
        <f>SUM(H9:H44)</f>
        <v>54931.273750000008</v>
      </c>
      <c r="I45" s="214"/>
      <c r="J45" s="20"/>
      <c r="K45" s="20"/>
      <c r="L45" s="199" t="str">
        <f>IF(F45=0," ",(I45+J45)*(Details!$C$4+Details!$C$6))</f>
        <v xml:space="preserve"> </v>
      </c>
      <c r="M45" s="200">
        <f>SUM(M9:M44)</f>
        <v>15161.325000000001</v>
      </c>
      <c r="N45" s="200">
        <f>SUM(N9:N44)</f>
        <v>32605</v>
      </c>
      <c r="O45" s="200">
        <f>SUM(O9:O44)</f>
        <v>2274.1987500000005</v>
      </c>
      <c r="P45" s="200">
        <f>SUM(P9:P44)</f>
        <v>4890.7500000000009</v>
      </c>
      <c r="Q45" s="69"/>
      <c r="R45" s="69"/>
      <c r="S45" s="69"/>
      <c r="T45" s="69"/>
      <c r="U45" s="69"/>
      <c r="V45" s="69"/>
    </row>
    <row r="46" spans="1:24" s="21" customFormat="1" ht="19.5" thickTop="1" thickBot="1" x14ac:dyDescent="0.5">
      <c r="A46" s="50"/>
      <c r="B46" s="180"/>
      <c r="C46" s="181"/>
      <c r="D46" s="182"/>
      <c r="E46" s="157"/>
      <c r="F46" s="63"/>
      <c r="G46" s="65"/>
      <c r="H46" s="201"/>
      <c r="I46" s="215"/>
      <c r="J46" s="56"/>
      <c r="K46" s="56"/>
      <c r="L46" s="67" t="str">
        <f>IF(F46=0," ",(I46+J46)*(Details!$C$4+Details!$C$6))</f>
        <v xml:space="preserve"> </v>
      </c>
      <c r="M46" s="56"/>
      <c r="N46" s="56"/>
      <c r="O46" s="56"/>
      <c r="P46" s="185"/>
      <c r="Q46" s="69"/>
      <c r="R46" s="69"/>
      <c r="S46" s="69"/>
      <c r="T46" s="69"/>
      <c r="U46" s="69"/>
      <c r="V46" s="70"/>
    </row>
    <row r="47" spans="1:24" s="21" customFormat="1" x14ac:dyDescent="0.35">
      <c r="A47" s="16"/>
      <c r="B47" s="16"/>
      <c r="C47" s="70"/>
      <c r="D47" s="70"/>
      <c r="E47" s="32"/>
      <c r="F47" s="16"/>
      <c r="G47" s="20"/>
      <c r="H47" s="20"/>
      <c r="I47" s="20"/>
      <c r="J47" s="20"/>
      <c r="K47" s="20"/>
      <c r="L47" s="16"/>
      <c r="M47" s="16"/>
      <c r="N47" s="16"/>
      <c r="O47" s="16"/>
      <c r="P47" s="16"/>
      <c r="Q47" s="69"/>
      <c r="R47" s="69"/>
      <c r="S47" s="69"/>
      <c r="T47" s="69"/>
      <c r="U47" s="69"/>
      <c r="V47" s="70"/>
      <c r="W47" s="16"/>
      <c r="X47" s="16"/>
    </row>
    <row r="48" spans="1:24" s="21" customFormat="1" x14ac:dyDescent="0.35">
      <c r="A48" s="16"/>
      <c r="B48" s="16"/>
      <c r="C48" s="70"/>
      <c r="D48" s="70"/>
      <c r="E48" s="32"/>
      <c r="F48" s="16"/>
      <c r="G48" s="20"/>
      <c r="H48" s="20"/>
      <c r="I48" s="20"/>
      <c r="J48" s="20"/>
      <c r="K48" s="20"/>
      <c r="L48" s="16"/>
      <c r="M48" s="16"/>
      <c r="N48" s="16"/>
      <c r="O48" s="16"/>
      <c r="P48" s="16"/>
      <c r="Q48" s="69"/>
      <c r="R48" s="69"/>
      <c r="S48" s="69"/>
      <c r="T48" s="69"/>
      <c r="U48" s="32"/>
      <c r="V48" s="16"/>
      <c r="W48" s="16"/>
      <c r="X48" s="16"/>
    </row>
    <row r="49" spans="1:24" s="21" customFormat="1" x14ac:dyDescent="0.35">
      <c r="A49" s="16"/>
      <c r="B49" s="16"/>
      <c r="C49" s="70"/>
      <c r="D49" s="70"/>
      <c r="E49" s="32"/>
      <c r="F49" s="16"/>
      <c r="G49" s="20"/>
      <c r="H49" s="20"/>
      <c r="I49" s="20"/>
      <c r="J49" s="20"/>
      <c r="K49" s="20"/>
      <c r="L49" s="16"/>
      <c r="M49" s="16"/>
      <c r="N49" s="16"/>
      <c r="O49" s="16"/>
      <c r="P49" s="16"/>
      <c r="Q49" s="69"/>
      <c r="R49" s="69"/>
      <c r="S49" s="69"/>
      <c r="T49" s="69"/>
      <c r="U49" s="32"/>
      <c r="V49" s="16"/>
      <c r="W49" s="16"/>
      <c r="X49" s="16"/>
    </row>
    <row r="50" spans="1:24" s="21" customFormat="1" x14ac:dyDescent="0.35">
      <c r="A50" s="16"/>
      <c r="B50" s="16"/>
      <c r="C50" s="70"/>
      <c r="D50" s="70"/>
      <c r="E50" s="32"/>
      <c r="F50" s="16"/>
      <c r="G50" s="20"/>
      <c r="H50" s="20"/>
      <c r="I50" s="20"/>
      <c r="J50" s="20"/>
      <c r="K50" s="20"/>
      <c r="L50" s="16"/>
      <c r="M50" s="16"/>
      <c r="N50" s="16"/>
      <c r="O50" s="16"/>
      <c r="P50" s="16"/>
      <c r="Q50" s="69"/>
      <c r="R50" s="69"/>
      <c r="S50" s="69"/>
      <c r="T50" s="69"/>
      <c r="U50" s="32"/>
      <c r="V50" s="16"/>
      <c r="W50" s="16"/>
      <c r="X50" s="16"/>
    </row>
  </sheetData>
  <mergeCells count="2">
    <mergeCell ref="M6:P6"/>
    <mergeCell ref="I6:L6"/>
  </mergeCells>
  <conditionalFormatting sqref="I9:I10453">
    <cfRule type="notContainsBlanks" dxfId="79" priority="1">
      <formula>LEN(TRIM(I9))&gt;0</formula>
    </cfRule>
  </conditionalFormatting>
  <conditionalFormatting sqref="J13:J44">
    <cfRule type="notContainsBlanks" dxfId="78" priority="2">
      <formula>LEN(TRIM(J13))&gt;0</formula>
    </cfRule>
  </conditionalFormatting>
  <conditionalFormatting sqref="J9:K12">
    <cfRule type="notContainsBlanks" dxfId="77" priority="3">
      <formula>LEN(TRIM(J9))&gt;0</formula>
    </cfRule>
  </conditionalFormatting>
  <conditionalFormatting sqref="J45:K10543">
    <cfRule type="notContainsBlanks" dxfId="76" priority="45">
      <formula>LEN(TRIM(J45))&gt;0</formula>
    </cfRule>
  </conditionalFormatting>
  <conditionalFormatting sqref="K28 K30">
    <cfRule type="notContainsBlanks" dxfId="75" priority="4">
      <formula>LEN(TRIM(K28))&gt;0</formula>
    </cfRule>
  </conditionalFormatting>
  <dataValidations count="1">
    <dataValidation type="list" allowBlank="1" showInputMessage="1" showErrorMessage="1" sqref="R2:S2" xr:uid="{00000000-0002-0000-0900-000000000000}">
      <formula1>"UPVC,Aluminium,Timber,Composite,Crittall, Multiple"</formula1>
    </dataValidation>
  </dataValidations>
  <printOptions horizontalCentered="1"/>
  <pageMargins left="0.70866141732283461" right="0.70866141732283461" top="0.31496062992125984" bottom="0.62992125984251968" header="0.31496062992125984" footer="0.31496062992125984"/>
  <pageSetup paperSize="9" scale="65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Q34"/>
  <sheetViews>
    <sheetView zoomScale="55" zoomScaleNormal="55" workbookViewId="0">
      <selection activeCell="N34" sqref="N3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7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7" x14ac:dyDescent="0.35">
      <c r="A2" s="15"/>
      <c r="B2" s="3" t="str">
        <f>+'Qual, Excl &amp; Assum'!B2</f>
        <v>PROJECT NAME: SQUAIRRELS LEAP GUILDFORD ROAD, CHERTSEY KT16 9RU</v>
      </c>
      <c r="F2" s="35"/>
    </row>
    <row r="3" spans="1:17" x14ac:dyDescent="0.35">
      <c r="A3" s="15"/>
      <c r="B3" s="53" t="str">
        <f>+'Qual, Excl &amp; Assum'!B3</f>
        <v>DATE: 25TH NOVEMBER 2025</v>
      </c>
      <c r="F3" s="35"/>
    </row>
    <row r="4" spans="1:17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</row>
    <row r="5" spans="1:17" s="21" customFormat="1" ht="38.25" customHeight="1" thickBot="1" x14ac:dyDescent="0.4">
      <c r="A5" s="206"/>
      <c r="B5" s="207" t="s">
        <v>22</v>
      </c>
      <c r="C5" s="208"/>
      <c r="D5" s="209"/>
      <c r="E5" s="210"/>
      <c r="F5" s="216"/>
      <c r="G5" s="360" t="s">
        <v>121</v>
      </c>
      <c r="H5" s="360"/>
      <c r="I5" s="360"/>
      <c r="J5" s="361"/>
      <c r="K5" s="359" t="s">
        <v>122</v>
      </c>
      <c r="L5" s="360"/>
      <c r="M5" s="360"/>
      <c r="N5" s="361"/>
    </row>
    <row r="6" spans="1:17" s="21" customFormat="1" ht="18.5" x14ac:dyDescent="0.45">
      <c r="A6" s="49"/>
      <c r="B6" s="38"/>
      <c r="C6" s="144"/>
      <c r="D6" s="38"/>
      <c r="E6" s="64"/>
      <c r="F6" s="197"/>
      <c r="G6" s="64"/>
      <c r="H6" s="64"/>
      <c r="I6" s="64"/>
      <c r="J6" s="202"/>
      <c r="K6" s="214"/>
      <c r="L6" s="20"/>
      <c r="M6" s="20"/>
      <c r="N6" s="27"/>
    </row>
    <row r="7" spans="1:17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7" s="21" customFormat="1" ht="18.5" x14ac:dyDescent="0.45">
      <c r="A8" s="49"/>
      <c r="B8" s="158"/>
      <c r="C8" s="147"/>
      <c r="D8" s="61"/>
      <c r="E8" s="62"/>
      <c r="F8" s="198"/>
      <c r="G8" s="59"/>
      <c r="H8" s="48"/>
      <c r="I8" s="48"/>
      <c r="J8" s="203"/>
      <c r="K8" s="214"/>
      <c r="L8" s="20"/>
      <c r="M8" s="20"/>
      <c r="N8" s="199" t="str">
        <f t="shared" ref="N8" si="0">IF(D8=0," ",(J8*C8))</f>
        <v xml:space="preserve"> </v>
      </c>
    </row>
    <row r="9" spans="1:17" s="21" customFormat="1" ht="18.5" x14ac:dyDescent="0.45">
      <c r="A9" s="49"/>
      <c r="B9" s="164" t="s">
        <v>238</v>
      </c>
      <c r="C9" s="147"/>
      <c r="D9" s="61"/>
      <c r="E9" s="62"/>
      <c r="F9" s="198"/>
      <c r="G9" s="59"/>
      <c r="H9" s="48"/>
      <c r="I9" s="48"/>
      <c r="J9" s="199"/>
      <c r="K9" s="214"/>
      <c r="L9" s="217"/>
      <c r="M9" s="217"/>
      <c r="N9" s="199" t="str">
        <f>IF(D9=0," ",(J9*C9))</f>
        <v xml:space="preserve"> </v>
      </c>
    </row>
    <row r="10" spans="1:17" s="21" customFormat="1" ht="18.5" x14ac:dyDescent="0.45">
      <c r="A10" s="49"/>
      <c r="B10" s="153"/>
      <c r="C10" s="147"/>
      <c r="D10" s="61"/>
      <c r="E10" s="62"/>
      <c r="F10" s="198"/>
      <c r="G10" s="59"/>
      <c r="H10" s="48"/>
      <c r="I10" s="48"/>
      <c r="J10" s="199"/>
      <c r="K10" s="214"/>
      <c r="L10" s="165"/>
      <c r="M10" s="165"/>
      <c r="N10" s="199" t="str">
        <f>IF(D10=0," ",(J10*C10))</f>
        <v xml:space="preserve"> </v>
      </c>
    </row>
    <row r="11" spans="1:17" s="21" customFormat="1" ht="18.5" x14ac:dyDescent="0.45">
      <c r="A11" s="49">
        <v>1</v>
      </c>
      <c r="B11" s="153" t="s">
        <v>239</v>
      </c>
      <c r="C11" s="144">
        <v>339.21999999999997</v>
      </c>
      <c r="D11" s="51" t="s">
        <v>13</v>
      </c>
      <c r="E11" s="48">
        <f>G11+H11+J11+I11</f>
        <v>22.996837500000002</v>
      </c>
      <c r="F11" s="199">
        <f>E11*C11</f>
        <v>7800.9872167499998</v>
      </c>
      <c r="G11" s="59">
        <v>6.3472500000000007</v>
      </c>
      <c r="H11" s="48">
        <v>13.65</v>
      </c>
      <c r="I11" s="48">
        <f>IF(D11=0," ",(G11)*(Details!$C$4+Details!$C$8))</f>
        <v>0.9520875000000002</v>
      </c>
      <c r="J11" s="199">
        <f>IF(D11=0," ",(H11)*(Details!$C$6+Details!$C$8))</f>
        <v>2.0475000000000003</v>
      </c>
      <c r="K11" s="59">
        <f>+G11*C11</f>
        <v>2153.114145</v>
      </c>
      <c r="L11" s="48">
        <f>+H11*C11</f>
        <v>4630.3530000000001</v>
      </c>
      <c r="M11" s="48">
        <f>IF(D11=0," ",(I11*C11))</f>
        <v>322.96712175000005</v>
      </c>
      <c r="N11" s="199">
        <f>IF(D11=0," ",(J11*C11))</f>
        <v>694.55295000000001</v>
      </c>
    </row>
    <row r="12" spans="1:17" s="21" customFormat="1" ht="18.5" x14ac:dyDescent="0.45">
      <c r="A12" s="49"/>
      <c r="B12" s="153"/>
      <c r="C12" s="144"/>
      <c r="D12" s="51"/>
      <c r="E12" s="48"/>
      <c r="F12" s="199"/>
      <c r="G12" s="59"/>
      <c r="H12" s="48"/>
      <c r="I12" s="48"/>
      <c r="J12" s="199"/>
      <c r="K12" s="59"/>
      <c r="L12" s="48"/>
      <c r="M12" s="48"/>
      <c r="N12" s="199"/>
    </row>
    <row r="13" spans="1:17" s="38" customFormat="1" ht="18.5" x14ac:dyDescent="0.45">
      <c r="A13" s="75">
        <f>IF(F13&lt;&gt;"",(LARGE(A$9:A11,1)+1),"")</f>
        <v>2</v>
      </c>
      <c r="B13" s="151" t="s">
        <v>240</v>
      </c>
      <c r="C13" s="144">
        <v>96.92</v>
      </c>
      <c r="D13" s="51" t="s">
        <v>13</v>
      </c>
      <c r="E13" s="48">
        <f>G13+H13+J13+I13</f>
        <v>22.996837500000002</v>
      </c>
      <c r="F13" s="199">
        <f>E13*C13</f>
        <v>2228.8534905000001</v>
      </c>
      <c r="G13" s="59">
        <v>6.3472500000000007</v>
      </c>
      <c r="H13" s="48">
        <v>13.65</v>
      </c>
      <c r="I13" s="48">
        <f>IF(D13=0," ",(G13)*(Details!$C$4+Details!$C$8))</f>
        <v>0.9520875000000002</v>
      </c>
      <c r="J13" s="199">
        <f>IF(D13=0," ",(H13)*(Details!$C$6+Details!$C$8))</f>
        <v>2.0475000000000003</v>
      </c>
      <c r="K13" s="59">
        <f>+G13*C13</f>
        <v>615.17547000000013</v>
      </c>
      <c r="L13" s="48">
        <f>+H13*C13</f>
        <v>1322.9580000000001</v>
      </c>
      <c r="M13" s="48">
        <f>IF(D13=0," ",(I13*C13))</f>
        <v>92.276320500000026</v>
      </c>
      <c r="N13" s="199">
        <f>IF(D13=0," ",(J13*C13))</f>
        <v>198.44370000000004</v>
      </c>
      <c r="O13" s="257"/>
      <c r="P13" s="48"/>
      <c r="Q13" s="48"/>
    </row>
    <row r="14" spans="1:17" s="38" customFormat="1" ht="18.5" x14ac:dyDescent="0.45">
      <c r="A14" s="75"/>
      <c r="B14" s="151"/>
      <c r="C14" s="144"/>
      <c r="D14" s="51"/>
      <c r="E14" s="48"/>
      <c r="F14" s="199"/>
      <c r="G14" s="59"/>
      <c r="H14" s="48"/>
      <c r="I14" s="48"/>
      <c r="J14" s="199"/>
      <c r="K14" s="59"/>
      <c r="L14" s="48"/>
      <c r="M14" s="48"/>
      <c r="N14" s="199"/>
      <c r="O14" s="340"/>
      <c r="P14" s="48"/>
      <c r="Q14" s="48"/>
    </row>
    <row r="15" spans="1:17" s="21" customFormat="1" ht="18.5" x14ac:dyDescent="0.45">
      <c r="A15" s="75">
        <f>IF(F15&lt;&gt;"",(LARGE(A$9:A13,1)+1),"")</f>
        <v>3</v>
      </c>
      <c r="B15" s="151" t="s">
        <v>241</v>
      </c>
      <c r="C15" s="144">
        <v>48.46</v>
      </c>
      <c r="D15" s="51" t="s">
        <v>13</v>
      </c>
      <c r="E15" s="48">
        <f>G15+H15+J15+I15</f>
        <v>22.996837500000002</v>
      </c>
      <c r="F15" s="199">
        <f>E15*C15</f>
        <v>1114.4267452500001</v>
      </c>
      <c r="G15" s="59">
        <v>6.3472500000000007</v>
      </c>
      <c r="H15" s="48">
        <v>13.65</v>
      </c>
      <c r="I15" s="48">
        <f>IF(D15=0," ",(G15)*(Details!$C$4+Details!$C$8))</f>
        <v>0.9520875000000002</v>
      </c>
      <c r="J15" s="199">
        <f>IF(D15=0," ",(H15)*(Details!$C$6+Details!$C$8))</f>
        <v>2.0475000000000003</v>
      </c>
      <c r="K15" s="59">
        <f>+G15*C15</f>
        <v>307.58773500000007</v>
      </c>
      <c r="L15" s="48">
        <f>+H15*C15</f>
        <v>661.47900000000004</v>
      </c>
      <c r="M15" s="48">
        <f>IF(D15=0," ",(I15*C15))</f>
        <v>46.138160250000013</v>
      </c>
      <c r="N15" s="199">
        <f>IF(D15=0," ",(J15*C15))</f>
        <v>99.221850000000018</v>
      </c>
    </row>
    <row r="16" spans="1:17" s="21" customFormat="1" ht="18.5" x14ac:dyDescent="0.45">
      <c r="A16" s="75" t="str">
        <f>IF(F16&lt;&gt;"",(LARGE(A$9:A14,1)+1),"")</f>
        <v/>
      </c>
      <c r="B16" s="151"/>
      <c r="C16" s="144"/>
      <c r="D16" s="51"/>
      <c r="E16" s="48"/>
      <c r="F16" s="199"/>
      <c r="G16" s="59"/>
      <c r="H16" s="48"/>
      <c r="I16" s="48"/>
      <c r="J16" s="199"/>
      <c r="K16" s="214"/>
      <c r="L16" s="20"/>
      <c r="M16" s="20"/>
      <c r="N16" s="199"/>
    </row>
    <row r="17" spans="1:16" s="21" customFormat="1" ht="18.5" x14ac:dyDescent="0.45">
      <c r="A17" s="75" t="str">
        <f>IF(F17&lt;&gt;"",(LARGE(A$9:A15,1)+1),"")</f>
        <v/>
      </c>
      <c r="B17" s="164" t="s">
        <v>247</v>
      </c>
      <c r="C17" s="144"/>
      <c r="D17" s="51"/>
      <c r="E17" s="48"/>
      <c r="F17" s="199"/>
      <c r="G17" s="59"/>
      <c r="H17" s="48"/>
      <c r="I17" s="48" t="str">
        <f>IF(D17=0," ",(G17)*(Details!$C$4+Details!$C$8))</f>
        <v xml:space="preserve"> </v>
      </c>
      <c r="J17" s="199" t="str">
        <f>IF(D17=0," ",(H17)*(Details!$C$6+Details!$C$8))</f>
        <v xml:space="preserve"> </v>
      </c>
      <c r="K17" s="59"/>
      <c r="L17" s="48"/>
      <c r="M17" s="48" t="str">
        <f t="shared" ref="M17" si="1">IF(D17=0," ",(I17*C17))</f>
        <v xml:space="preserve"> </v>
      </c>
      <c r="N17" s="199" t="str">
        <f t="shared" ref="N17" si="2">IF(D17=0," ",(J17*C17))</f>
        <v xml:space="preserve"> </v>
      </c>
    </row>
    <row r="18" spans="1:16" s="21" customFormat="1" ht="18.5" x14ac:dyDescent="0.45">
      <c r="A18" s="75" t="str">
        <f>IF(F18&lt;&gt;"",(LARGE(A$9:A16,1)+1),"")</f>
        <v/>
      </c>
      <c r="B18" s="151"/>
      <c r="C18" s="144"/>
      <c r="D18" s="51"/>
      <c r="E18" s="48"/>
      <c r="F18" s="199"/>
      <c r="G18" s="59"/>
      <c r="H18" s="48"/>
      <c r="I18" s="48"/>
      <c r="J18" s="199"/>
      <c r="K18" s="59"/>
      <c r="L18" s="48"/>
      <c r="M18" s="48"/>
      <c r="N18" s="199"/>
    </row>
    <row r="19" spans="1:16" s="21" customFormat="1" ht="18.5" x14ac:dyDescent="0.45">
      <c r="A19" s="75">
        <f>IF(F19&lt;&gt;"",(LARGE(A$9:A17,1)+1),"")</f>
        <v>4</v>
      </c>
      <c r="B19" s="151" t="s">
        <v>251</v>
      </c>
      <c r="C19" s="144">
        <v>77.86239999999998</v>
      </c>
      <c r="D19" s="51" t="s">
        <v>10</v>
      </c>
      <c r="E19" s="48">
        <f t="shared" ref="E19" si="3">G19+H19+J19+I19</f>
        <v>20.638187499999997</v>
      </c>
      <c r="F19" s="199">
        <f>E19*C19</f>
        <v>1606.9388103999993</v>
      </c>
      <c r="G19" s="59">
        <v>5.69625</v>
      </c>
      <c r="H19" s="48">
        <v>12.25</v>
      </c>
      <c r="I19" s="48">
        <f>IF(D19=0," ",(G19)*(Details!$C$4+Details!$C$8))</f>
        <v>0.85443750000000018</v>
      </c>
      <c r="J19" s="199">
        <f>IF(D19=0," ",(H19)*(Details!$C$6+Details!$C$8))</f>
        <v>1.8375000000000004</v>
      </c>
      <c r="K19" s="59">
        <f t="shared" ref="K19" si="4">+G19*C19</f>
        <v>443.52369599999986</v>
      </c>
      <c r="L19" s="48">
        <f t="shared" ref="L19" si="5">+H19*C19</f>
        <v>953.81439999999975</v>
      </c>
      <c r="M19" s="48">
        <f t="shared" ref="M19" si="6">IF(D19=0," ",(I19*C19))</f>
        <v>66.52855439999999</v>
      </c>
      <c r="N19" s="199">
        <f t="shared" ref="N19" si="7">IF(D19=0," ",(J19*C19))</f>
        <v>143.07216</v>
      </c>
    </row>
    <row r="20" spans="1:16" s="21" customFormat="1" ht="18.5" x14ac:dyDescent="0.45">
      <c r="A20" s="75" t="str">
        <f>IF(F20&lt;&gt;"",(LARGE(A$9:A18,1)+1),"")</f>
        <v/>
      </c>
      <c r="B20" s="158"/>
      <c r="C20" s="144"/>
      <c r="D20" s="51"/>
      <c r="E20" s="48"/>
      <c r="F20" s="199"/>
      <c r="G20" s="59"/>
      <c r="H20" s="48"/>
      <c r="I20" s="48"/>
      <c r="J20" s="199"/>
      <c r="K20" s="214"/>
      <c r="L20" s="20"/>
      <c r="M20" s="20"/>
      <c r="N20" s="199"/>
    </row>
    <row r="21" spans="1:16" s="21" customFormat="1" ht="18.5" x14ac:dyDescent="0.45">
      <c r="A21" s="75">
        <f>IF(F21&lt;&gt;"",(LARGE(A$9:A19,1)+1),"")</f>
        <v>5</v>
      </c>
      <c r="B21" s="151" t="s">
        <v>250</v>
      </c>
      <c r="C21" s="144">
        <v>135.68799999999999</v>
      </c>
      <c r="D21" s="51" t="s">
        <v>10</v>
      </c>
      <c r="E21" s="48">
        <f t="shared" ref="E21" si="8">G21+H21+J21+I21</f>
        <v>19.627337499999999</v>
      </c>
      <c r="F21" s="199">
        <f>E21*C21</f>
        <v>2663.1941706999996</v>
      </c>
      <c r="G21" s="59">
        <v>5.4172500000000001</v>
      </c>
      <c r="H21" s="48">
        <v>11.65</v>
      </c>
      <c r="I21" s="48">
        <f>IF(D21=0," ",(G21)*(Details!$C$4+Details!$C$8))</f>
        <v>0.81258750000000013</v>
      </c>
      <c r="J21" s="199">
        <f>IF(D21=0," ",(H21)*(Details!$C$6+Details!$C$8))</f>
        <v>1.7475000000000003</v>
      </c>
      <c r="K21" s="59">
        <f t="shared" ref="K21" si="9">+G21*C21</f>
        <v>735.05581799999993</v>
      </c>
      <c r="L21" s="48">
        <f t="shared" ref="L21" si="10">+H21*C21</f>
        <v>1580.7651999999998</v>
      </c>
      <c r="M21" s="48">
        <f t="shared" ref="M21" si="11">IF(D21=0," ",(I21*C21))</f>
        <v>110.25837270000001</v>
      </c>
      <c r="N21" s="199">
        <f t="shared" ref="N21" si="12">IF(D21=0," ",(J21*C21))</f>
        <v>237.11478000000002</v>
      </c>
    </row>
    <row r="22" spans="1:16" s="21" customFormat="1" ht="18.5" x14ac:dyDescent="0.45">
      <c r="A22" s="75" t="str">
        <f>IF(F22&lt;&gt;"",(LARGE(A$9:A20,1)+1),"")</f>
        <v/>
      </c>
      <c r="B22" s="151"/>
      <c r="C22" s="144"/>
      <c r="D22" s="51"/>
      <c r="E22" s="48"/>
      <c r="F22" s="199"/>
      <c r="G22" s="59"/>
      <c r="H22" s="48"/>
      <c r="I22" s="48"/>
      <c r="J22" s="199"/>
      <c r="K22" s="214"/>
      <c r="L22" s="20"/>
      <c r="M22" s="20"/>
      <c r="N22" s="199"/>
    </row>
    <row r="23" spans="1:16" s="21" customFormat="1" ht="18.5" x14ac:dyDescent="0.45">
      <c r="A23" s="75" t="str">
        <f>IF(F23&lt;&gt;"",(LARGE(A$9:A21,1)+1),"")</f>
        <v/>
      </c>
      <c r="B23" s="164" t="s">
        <v>55</v>
      </c>
      <c r="C23" s="144"/>
      <c r="D23" s="51"/>
      <c r="E23" s="48"/>
      <c r="F23" s="199"/>
      <c r="G23" s="59"/>
      <c r="H23" s="48"/>
      <c r="I23" s="48" t="str">
        <f>IF(D23=0," ",(G23)*(Details!$C$4+Details!$C$8))</f>
        <v xml:space="preserve"> </v>
      </c>
      <c r="J23" s="199" t="str">
        <f>IF(D23=0," ",(H23)*(Details!$C$6+Details!$C$8))</f>
        <v xml:space="preserve"> </v>
      </c>
      <c r="K23" s="59"/>
      <c r="L23" s="48"/>
      <c r="M23" s="48" t="str">
        <f t="shared" ref="M23" si="13">IF(D23=0," ",(I23*C23))</f>
        <v xml:space="preserve"> </v>
      </c>
      <c r="N23" s="199" t="str">
        <f t="shared" ref="N23" si="14">IF(D23=0," ",(J23*C23))</f>
        <v xml:space="preserve"> </v>
      </c>
    </row>
    <row r="24" spans="1:16" s="21" customFormat="1" ht="18.5" x14ac:dyDescent="0.45">
      <c r="A24" s="75" t="str">
        <f>IF(F24&lt;&gt;"",(LARGE(A$9:A22,1)+1),"")</f>
        <v/>
      </c>
      <c r="B24" s="158"/>
      <c r="C24" s="144"/>
      <c r="D24" s="51"/>
      <c r="E24" s="48"/>
      <c r="F24" s="199"/>
      <c r="G24" s="59"/>
      <c r="H24" s="48"/>
      <c r="I24" s="48"/>
      <c r="J24" s="199"/>
      <c r="K24" s="214"/>
      <c r="L24" s="20"/>
      <c r="M24" s="20"/>
      <c r="N24" s="199"/>
    </row>
    <row r="25" spans="1:16" s="21" customFormat="1" ht="18.5" x14ac:dyDescent="0.45">
      <c r="A25" s="75">
        <f>IF(F25&lt;&gt;"",(LARGE(A$9:A23,1)+1),"")</f>
        <v>6</v>
      </c>
      <c r="B25" s="151" t="s">
        <v>248</v>
      </c>
      <c r="C25" s="144">
        <v>35.72</v>
      </c>
      <c r="D25" s="51" t="s">
        <v>10</v>
      </c>
      <c r="E25" s="48">
        <f t="shared" ref="E25" si="15">G25+H25+J25+I25</f>
        <v>29.483125000000005</v>
      </c>
      <c r="F25" s="199">
        <f>E25*C25</f>
        <v>1053.1372250000002</v>
      </c>
      <c r="G25" s="59">
        <v>8.1375000000000011</v>
      </c>
      <c r="H25" s="48">
        <v>17.5</v>
      </c>
      <c r="I25" s="48">
        <f>IF(D25=0," ",(G25)*(Details!$C$4+Details!$C$8))</f>
        <v>1.2206250000000003</v>
      </c>
      <c r="J25" s="199">
        <f>IF(D25=0," ",(H25)*(Details!$C$6+Details!$C$8))</f>
        <v>2.6250000000000004</v>
      </c>
      <c r="K25" s="59">
        <f t="shared" ref="K25" si="16">+G25*C25</f>
        <v>290.67150000000004</v>
      </c>
      <c r="L25" s="48">
        <f t="shared" ref="L25" si="17">+H25*C25</f>
        <v>625.1</v>
      </c>
      <c r="M25" s="48">
        <f t="shared" ref="M25" si="18">IF(D25=0," ",(I25*C25))</f>
        <v>43.600725000000011</v>
      </c>
      <c r="N25" s="199">
        <f t="shared" ref="N25" si="19">IF(D25=0," ",(J25*C25))</f>
        <v>93.765000000000015</v>
      </c>
    </row>
    <row r="26" spans="1:16" s="21" customFormat="1" ht="18.5" x14ac:dyDescent="0.45">
      <c r="A26" s="75" t="str">
        <f>IF(F26&lt;&gt;"",(LARGE(A$9:A24,1)+1),"")</f>
        <v/>
      </c>
      <c r="B26" s="151"/>
      <c r="C26" s="144"/>
      <c r="D26" s="51"/>
      <c r="E26" s="48"/>
      <c r="F26" s="199"/>
      <c r="G26" s="59"/>
      <c r="H26" s="48"/>
      <c r="I26" s="48"/>
      <c r="J26" s="199"/>
      <c r="K26" s="59"/>
      <c r="L26" s="48"/>
      <c r="M26" s="48"/>
      <c r="N26" s="199"/>
    </row>
    <row r="27" spans="1:16" s="21" customFormat="1" ht="18.5" x14ac:dyDescent="0.45">
      <c r="A27" s="75">
        <f>IF(F27&lt;&gt;"",(LARGE(A$9:A25,1)+1),"")</f>
        <v>7</v>
      </c>
      <c r="B27" s="151" t="s">
        <v>249</v>
      </c>
      <c r="C27" s="144">
        <v>374.88</v>
      </c>
      <c r="D27" s="51" t="s">
        <v>10</v>
      </c>
      <c r="E27" s="48">
        <f t="shared" ref="E27" si="20">G27+H27+J27+I27</f>
        <v>27.798375</v>
      </c>
      <c r="F27" s="199">
        <f>E27*C27</f>
        <v>10421.054819999999</v>
      </c>
      <c r="G27" s="59">
        <v>7.6725000000000003</v>
      </c>
      <c r="H27" s="48">
        <v>16.5</v>
      </c>
      <c r="I27" s="48">
        <f>IF(D27=0," ",(G27)*(Details!$C$4+Details!$C$8))</f>
        <v>1.1508750000000003</v>
      </c>
      <c r="J27" s="199">
        <f>IF(D27=0," ",(H27)*(Details!$C$6+Details!$C$8))</f>
        <v>2.4750000000000005</v>
      </c>
      <c r="K27" s="59">
        <f t="shared" ref="K27" si="21">+G27*C27</f>
        <v>2876.2667999999999</v>
      </c>
      <c r="L27" s="48">
        <f t="shared" ref="L27" si="22">+H27*C27</f>
        <v>6185.5199999999995</v>
      </c>
      <c r="M27" s="48">
        <f t="shared" ref="M27" si="23">IF(D27=0," ",(I27*C27))</f>
        <v>431.44002000000012</v>
      </c>
      <c r="N27" s="199">
        <f t="shared" ref="N27" si="24">IF(D27=0," ",(J27*C27))</f>
        <v>927.8280000000002</v>
      </c>
    </row>
    <row r="28" spans="1:16" s="21" customFormat="1" ht="18.5" x14ac:dyDescent="0.45">
      <c r="A28" s="75" t="str">
        <f>IF(F28&lt;&gt;"",(LARGE(A$9:A26,1)+1),"")</f>
        <v/>
      </c>
      <c r="B28" s="151"/>
      <c r="C28" s="144"/>
      <c r="D28" s="60"/>
      <c r="E28" s="48"/>
      <c r="F28" s="199"/>
      <c r="G28" s="59"/>
      <c r="H28" s="48"/>
      <c r="I28" s="48"/>
      <c r="J28" s="199"/>
      <c r="K28" s="214"/>
      <c r="L28" s="20"/>
      <c r="M28" s="20"/>
      <c r="N28" s="199"/>
    </row>
    <row r="29" spans="1:16" s="21" customFormat="1" ht="18.5" x14ac:dyDescent="0.45">
      <c r="A29" s="75" t="str">
        <f>IF(F29&lt;&gt;"",(LARGE(A$9:A27,1)+1),"")</f>
        <v/>
      </c>
      <c r="B29" s="164" t="s">
        <v>243</v>
      </c>
      <c r="C29" s="152"/>
      <c r="D29" s="51"/>
      <c r="E29" s="48"/>
      <c r="F29" s="199"/>
      <c r="G29" s="59"/>
      <c r="H29" s="48"/>
      <c r="I29" s="48"/>
      <c r="J29" s="199"/>
      <c r="K29" s="59"/>
      <c r="L29" s="48"/>
      <c r="M29" s="48"/>
      <c r="N29" s="199"/>
    </row>
    <row r="30" spans="1:16" s="21" customFormat="1" ht="18.5" x14ac:dyDescent="0.45">
      <c r="A30" s="75" t="str">
        <f>IF(F30&lt;&gt;"",(LARGE(A$9:A28,1)+1),"")</f>
        <v/>
      </c>
      <c r="B30" s="38"/>
      <c r="C30" s="144"/>
      <c r="D30" s="60"/>
      <c r="E30" s="48"/>
      <c r="F30" s="199"/>
      <c r="G30" s="59"/>
      <c r="H30" s="48"/>
      <c r="I30" s="48"/>
      <c r="J30" s="199"/>
      <c r="K30" s="214"/>
      <c r="L30" s="20"/>
      <c r="M30" s="20"/>
      <c r="N30" s="199"/>
    </row>
    <row r="31" spans="1:16" s="21" customFormat="1" ht="18.5" x14ac:dyDescent="0.45">
      <c r="A31" s="75">
        <f>IF(F31&lt;&gt;"",(LARGE(A$9:A29,1)+1),"")</f>
        <v>8</v>
      </c>
      <c r="B31" s="151" t="s">
        <v>244</v>
      </c>
      <c r="C31" s="144">
        <v>15</v>
      </c>
      <c r="D31" s="51" t="s">
        <v>13</v>
      </c>
      <c r="E31" s="48">
        <f t="shared" ref="E31" si="25">G31+H31+J31+I31</f>
        <v>210.59375</v>
      </c>
      <c r="F31" s="199">
        <f>E31*C31</f>
        <v>3158.90625</v>
      </c>
      <c r="G31" s="59">
        <v>58.125</v>
      </c>
      <c r="H31" s="48">
        <v>125</v>
      </c>
      <c r="I31" s="48">
        <f>IF(D31=0," ",(G31)*(Details!$C$4+Details!$C$8))</f>
        <v>8.7187500000000018</v>
      </c>
      <c r="J31" s="199">
        <f>IF(D31=0," ",(H31)*(Details!$C$6+Details!$C$8))</f>
        <v>18.750000000000004</v>
      </c>
      <c r="K31" s="59">
        <f t="shared" ref="K31" si="26">+G31*C31</f>
        <v>871.875</v>
      </c>
      <c r="L31" s="48">
        <f t="shared" ref="L31" si="27">+H31*C31</f>
        <v>1875</v>
      </c>
      <c r="M31" s="48">
        <f t="shared" ref="M31" si="28">IF(D31=0," ",(I31*C31))</f>
        <v>130.78125000000003</v>
      </c>
      <c r="N31" s="199">
        <f t="shared" ref="N31" si="29">IF(D31=0," ",(J31*C31))</f>
        <v>281.25000000000006</v>
      </c>
    </row>
    <row r="32" spans="1:16" s="21" customFormat="1" ht="18.5" x14ac:dyDescent="0.45">
      <c r="A32" s="75" t="str">
        <f>IF(F32&lt;&gt;"",(LARGE(A$9:A30,1)+1),"")</f>
        <v/>
      </c>
      <c r="B32" s="151"/>
      <c r="C32" s="167"/>
      <c r="D32" s="51"/>
      <c r="E32" s="48"/>
      <c r="F32" s="199"/>
      <c r="G32" s="59"/>
      <c r="H32" s="48"/>
      <c r="I32" s="48"/>
      <c r="J32" s="199" t="str">
        <f>IF(D32=0," ",(G32+H32)*(Details!$C$4+Details!$C$6))</f>
        <v xml:space="preserve"> </v>
      </c>
      <c r="K32" s="214"/>
      <c r="L32" s="20"/>
      <c r="M32" s="20"/>
      <c r="N32" s="199"/>
      <c r="P32" s="72" t="s">
        <v>125</v>
      </c>
    </row>
    <row r="33" spans="1:16" s="21" customFormat="1" ht="19" thickBot="1" x14ac:dyDescent="0.5">
      <c r="A33" s="75"/>
      <c r="B33" s="160"/>
      <c r="C33" s="144"/>
      <c r="D33" s="60"/>
      <c r="E33" s="62" t="s">
        <v>97</v>
      </c>
      <c r="F33" s="200">
        <f>SUM(F8:F32)</f>
        <v>30047.498728599996</v>
      </c>
      <c r="G33" s="59"/>
      <c r="H33" s="48"/>
      <c r="I33" s="48"/>
      <c r="J33" s="199" t="str">
        <f>IF(D33=0," ",(G33+H33)*(Details!$C$4+Details!$C$6))</f>
        <v xml:space="preserve"> </v>
      </c>
      <c r="K33" s="200">
        <f>SUM(K8:K32)</f>
        <v>8293.2701639999996</v>
      </c>
      <c r="L33" s="200">
        <f>SUM(L8:L32)</f>
        <v>17834.989600000001</v>
      </c>
      <c r="M33" s="200">
        <f>SUM(M8:M32)</f>
        <v>1243.9905246000003</v>
      </c>
      <c r="N33" s="200">
        <f>SUM(N8:N32)</f>
        <v>2675.2484400000003</v>
      </c>
      <c r="O33" s="55"/>
      <c r="P33" s="72">
        <f>+F33-K33-L33-N33-M33</f>
        <v>-6.8212102632969618E-12</v>
      </c>
    </row>
    <row r="34" spans="1:16" s="21" customFormat="1" ht="19.5" thickTop="1" thickBot="1" x14ac:dyDescent="0.5">
      <c r="A34" s="161" t="str">
        <f>IF(F34&lt;&gt;"",(LARGE(A$7:A33,1)+1),"")</f>
        <v/>
      </c>
      <c r="B34" s="162"/>
      <c r="C34" s="157"/>
      <c r="D34" s="63"/>
      <c r="E34" s="65"/>
      <c r="F34" s="67"/>
      <c r="G34" s="66"/>
      <c r="H34" s="65"/>
      <c r="I34" s="65"/>
      <c r="J34" s="67" t="str">
        <f>IF(D34=0," ",(G34+H34)*(Details!$C$4+Details!$C$6))</f>
        <v xml:space="preserve"> </v>
      </c>
      <c r="K34" s="227"/>
      <c r="L34" s="227"/>
      <c r="M34" s="227"/>
      <c r="N34" s="187"/>
      <c r="O34" s="55"/>
    </row>
  </sheetData>
  <mergeCells count="2">
    <mergeCell ref="G5:J5"/>
    <mergeCell ref="K5:N5"/>
  </mergeCells>
  <conditionalFormatting sqref="G8:G10529">
    <cfRule type="notContainsBlanks" dxfId="74" priority="6">
      <formula>LEN(TRIM(G8))&gt;0</formula>
    </cfRule>
  </conditionalFormatting>
  <conditionalFormatting sqref="H11:H31">
    <cfRule type="notContainsBlanks" dxfId="73" priority="3">
      <formula>LEN(TRIM(H11))&gt;0</formula>
    </cfRule>
  </conditionalFormatting>
  <conditionalFormatting sqref="H8:I10 H32:I10429">
    <cfRule type="notContainsBlanks" dxfId="72" priority="29">
      <formula>LEN(TRIM(H8))&gt;0</formula>
    </cfRule>
  </conditionalFormatting>
  <conditionalFormatting sqref="I16 I20">
    <cfRule type="notContainsBlanks" dxfId="71" priority="1">
      <formula>LEN(TRIM(I16))&gt;0</formula>
    </cfRule>
  </conditionalFormatting>
  <conditionalFormatting sqref="I22 I24 I28 I30">
    <cfRule type="notContainsBlanks" dxfId="70" priority="36">
      <formula>LEN(TRIM(I22))&gt;0</formula>
    </cfRule>
  </conditionalFormatting>
  <conditionalFormatting sqref="P33">
    <cfRule type="cellIs" dxfId="69" priority="32" operator="equal">
      <formula>0</formula>
    </cfRule>
    <cfRule type="cellIs" dxfId="68" priority="33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P40"/>
  <sheetViews>
    <sheetView zoomScale="55" zoomScaleNormal="55" workbookViewId="0">
      <selection activeCell="N38" sqref="N38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1"/>
      <c r="D1" s="24"/>
      <c r="E1" s="33"/>
      <c r="F1" s="34"/>
      <c r="G1" s="82"/>
      <c r="H1" s="82"/>
      <c r="I1" s="82"/>
      <c r="J1" s="24"/>
    </row>
    <row r="2" spans="1:14" x14ac:dyDescent="0.35">
      <c r="A2" s="15"/>
      <c r="B2" s="3" t="str">
        <f>+'Qual, Excl &amp; Assum'!B2</f>
        <v>PROJECT NAME: SQUAIRRELS LEAP GUILDFORD ROAD, CHERTSEY KT16 9RU</v>
      </c>
      <c r="F2" s="35"/>
      <c r="G2" s="72"/>
      <c r="H2" s="72"/>
      <c r="I2" s="72"/>
      <c r="J2" s="16"/>
    </row>
    <row r="3" spans="1:14" x14ac:dyDescent="0.35">
      <c r="A3" s="15"/>
      <c r="B3" s="53" t="str">
        <f>+'Qual, Excl &amp; Assum'!B3</f>
        <v>DATE: 25TH NOVEMBER 2025</v>
      </c>
      <c r="F3" s="35"/>
      <c r="G3" s="72"/>
      <c r="H3" s="72"/>
      <c r="I3" s="72"/>
      <c r="J3" s="16"/>
    </row>
    <row r="4" spans="1:14" s="21" customFormat="1" ht="16" thickBot="1" x14ac:dyDescent="0.4">
      <c r="A4" s="15"/>
      <c r="B4" s="22"/>
      <c r="C4" s="32"/>
      <c r="E4" s="36"/>
      <c r="F4" s="37"/>
      <c r="G4" s="83"/>
      <c r="H4" s="83"/>
      <c r="I4" s="83"/>
      <c r="K4" s="20"/>
      <c r="L4" s="20"/>
      <c r="M4" s="20"/>
    </row>
    <row r="5" spans="1:14" s="21" customFormat="1" ht="38.25" customHeight="1" thickBot="1" x14ac:dyDescent="0.4">
      <c r="A5" s="206"/>
      <c r="B5" s="207" t="s">
        <v>20</v>
      </c>
      <c r="C5" s="208"/>
      <c r="D5" s="209"/>
      <c r="E5" s="210"/>
      <c r="F5" s="216"/>
      <c r="G5" s="360" t="s">
        <v>121</v>
      </c>
      <c r="H5" s="360"/>
      <c r="I5" s="360"/>
      <c r="J5" s="361"/>
      <c r="K5" s="359" t="s">
        <v>122</v>
      </c>
      <c r="L5" s="360"/>
      <c r="M5" s="360"/>
      <c r="N5" s="361"/>
    </row>
    <row r="6" spans="1:14" s="21" customFormat="1" ht="18.5" x14ac:dyDescent="0.45">
      <c r="A6" s="49"/>
      <c r="B6" s="38"/>
      <c r="C6" s="144"/>
      <c r="D6" s="38"/>
      <c r="E6" s="64"/>
      <c r="F6" s="197"/>
      <c r="G6" s="253"/>
      <c r="H6" s="253"/>
      <c r="I6" s="253"/>
      <c r="J6" s="202"/>
      <c r="K6" s="214"/>
      <c r="L6" s="20"/>
      <c r="M6" s="20"/>
      <c r="N6" s="27"/>
    </row>
    <row r="7" spans="1:14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4" s="21" customFormat="1" ht="18.5" x14ac:dyDescent="0.45">
      <c r="A8" s="49"/>
      <c r="B8" s="149"/>
      <c r="C8" s="147"/>
      <c r="D8" s="61"/>
      <c r="E8" s="62"/>
      <c r="F8" s="198"/>
      <c r="G8" s="59"/>
      <c r="H8" s="48"/>
      <c r="I8" s="48"/>
      <c r="J8" s="203"/>
      <c r="K8" s="214"/>
      <c r="L8" s="20"/>
      <c r="M8" s="20"/>
      <c r="N8" s="199" t="str">
        <f t="shared" ref="N8" si="0">IF(D8=0," ",(J8*C8))</f>
        <v xml:space="preserve"> </v>
      </c>
    </row>
    <row r="9" spans="1:14" s="21" customFormat="1" ht="18.5" x14ac:dyDescent="0.45">
      <c r="A9" s="75" t="str">
        <f>IF(F9&lt;&gt;"",(LARGE(#REF!,1)+1),"")</f>
        <v/>
      </c>
      <c r="B9" s="164" t="s">
        <v>130</v>
      </c>
      <c r="C9" s="144"/>
      <c r="D9" s="51"/>
      <c r="E9" s="48"/>
      <c r="F9" s="199"/>
      <c r="G9" s="59"/>
      <c r="H9" s="48"/>
      <c r="I9" s="48" t="str">
        <f>IF(D9=0," ",(G9)*([1]Details!$C$4+[1]Details!$C$8))</f>
        <v xml:space="preserve"> </v>
      </c>
      <c r="J9" s="199" t="str">
        <f>IF(D9=0," ",(H9)*([1]Details!$C$6+[1]Details!$C$8))</f>
        <v xml:space="preserve"> </v>
      </c>
      <c r="K9" s="59"/>
      <c r="L9" s="48"/>
      <c r="M9" s="48" t="str">
        <f t="shared" ref="M9" si="1">IF(D9=0," ",(I9*C9))</f>
        <v xml:space="preserve"> </v>
      </c>
      <c r="N9" s="199" t="str">
        <f t="shared" ref="N9:N10" si="2">IF(D9=0," ",(J9*C9))</f>
        <v xml:space="preserve"> </v>
      </c>
    </row>
    <row r="10" spans="1:14" s="21" customFormat="1" ht="18.5" x14ac:dyDescent="0.45">
      <c r="A10" s="75" t="str">
        <f>IF(F10&lt;&gt;"",(LARGE(A$9:A9,1)+1),"")</f>
        <v/>
      </c>
      <c r="B10" s="151"/>
      <c r="C10" s="152"/>
      <c r="D10" s="51"/>
      <c r="E10" s="48"/>
      <c r="F10" s="199"/>
      <c r="G10" s="59"/>
      <c r="H10" s="48"/>
      <c r="I10" s="48"/>
      <c r="J10" s="199"/>
      <c r="K10" s="214"/>
      <c r="L10" s="20"/>
      <c r="M10" s="20"/>
      <c r="N10" s="199" t="str">
        <f t="shared" si="2"/>
        <v xml:space="preserve"> </v>
      </c>
    </row>
    <row r="11" spans="1:14" s="21" customFormat="1" ht="18.5" x14ac:dyDescent="0.45">
      <c r="A11" s="75">
        <v>1</v>
      </c>
      <c r="B11" s="38" t="s">
        <v>301</v>
      </c>
      <c r="C11" s="144">
        <v>299</v>
      </c>
      <c r="D11" s="51" t="s">
        <v>13</v>
      </c>
      <c r="E11" s="48">
        <f>G11+H11+J11+I11</f>
        <v>29.735837500000002</v>
      </c>
      <c r="F11" s="199">
        <f>E11*C11</f>
        <v>8891.0154125000008</v>
      </c>
      <c r="G11" s="48">
        <v>8.2072500000000002</v>
      </c>
      <c r="H11" s="48">
        <v>17.649999999999999</v>
      </c>
      <c r="I11" s="48">
        <f>IF(D11=0," ",(G11)*([1]Details!$C$4+[1]Details!$C$8))</f>
        <v>1.2310875000000001</v>
      </c>
      <c r="J11" s="199">
        <f>IF(D11=0," ",(H11)*([1]Details!$C$6+[1]Details!$C$8))</f>
        <v>2.6475</v>
      </c>
      <c r="K11" s="59">
        <f>+G11*C11</f>
        <v>2453.9677500000003</v>
      </c>
      <c r="L11" s="48">
        <f>+H11*C11</f>
        <v>5277.3499999999995</v>
      </c>
      <c r="M11" s="48">
        <f>IF(D11=0," ",(I11*C11))</f>
        <v>368.09516250000001</v>
      </c>
      <c r="N11" s="199">
        <f>IF(D11=0," ",(J11*C11))</f>
        <v>791.60249999999996</v>
      </c>
    </row>
    <row r="12" spans="1:14" s="21" customFormat="1" ht="18.5" x14ac:dyDescent="0.45">
      <c r="A12" s="75" t="str">
        <f>IF(F12&lt;&gt;"",(LARGE(A$9:A11,1)+1),"")</f>
        <v/>
      </c>
      <c r="B12" s="150"/>
      <c r="C12" s="144"/>
      <c r="D12" s="51"/>
      <c r="E12" s="48"/>
      <c r="F12" s="199"/>
      <c r="G12" s="48"/>
      <c r="H12" s="48"/>
      <c r="I12" s="48"/>
      <c r="J12" s="199"/>
      <c r="K12" s="214"/>
      <c r="L12" s="20"/>
      <c r="M12" s="20"/>
      <c r="N12" s="199"/>
    </row>
    <row r="13" spans="1:14" s="21" customFormat="1" ht="18.5" x14ac:dyDescent="0.45">
      <c r="A13" s="75" t="str">
        <f>IF(F13&lt;&gt;"",(LARGE(A$9:A12,1)+1),"")</f>
        <v/>
      </c>
      <c r="B13" s="164" t="s">
        <v>129</v>
      </c>
      <c r="C13" s="144"/>
      <c r="D13" s="51"/>
      <c r="E13" s="48"/>
      <c r="F13" s="199"/>
      <c r="G13" s="48"/>
      <c r="H13" s="48"/>
      <c r="I13" s="48" t="str">
        <f>IF(D13=0," ",(G13)*([1]Details!$C$4+[1]Details!$C$8))</f>
        <v xml:space="preserve"> </v>
      </c>
      <c r="J13" s="199" t="str">
        <f>IF(D13=0," ",(H13)*([1]Details!$C$6+[1]Details!$C$8))</f>
        <v xml:space="preserve"> </v>
      </c>
      <c r="K13" s="59"/>
      <c r="L13" s="48"/>
      <c r="M13" s="48" t="str">
        <f t="shared" ref="M13" si="3">IF(D13=0," ",(I13*C13))</f>
        <v xml:space="preserve"> </v>
      </c>
      <c r="N13" s="199" t="str">
        <f t="shared" ref="N13" si="4">IF(D13=0," ",(J13*C13))</f>
        <v xml:space="preserve"> </v>
      </c>
    </row>
    <row r="14" spans="1:14" s="21" customFormat="1" ht="18.5" x14ac:dyDescent="0.45">
      <c r="A14" s="75" t="str">
        <f>IF(F14&lt;&gt;"",(LARGE(A$9:A13,1)+1),"")</f>
        <v/>
      </c>
      <c r="B14" s="151"/>
      <c r="C14" s="152"/>
      <c r="D14" s="51"/>
      <c r="E14" s="48"/>
      <c r="F14" s="199"/>
      <c r="G14" s="48"/>
      <c r="H14" s="48"/>
      <c r="I14" s="48"/>
      <c r="J14" s="199"/>
      <c r="K14" s="214"/>
      <c r="L14" s="20"/>
      <c r="M14" s="20"/>
      <c r="N14" s="199"/>
    </row>
    <row r="15" spans="1:14" s="21" customFormat="1" ht="18.5" x14ac:dyDescent="0.45">
      <c r="A15" s="75">
        <f>IF(F15&lt;&gt;"",(LARGE(A$9:A14,1)+1),"")</f>
        <v>2</v>
      </c>
      <c r="B15" s="150" t="s">
        <v>302</v>
      </c>
      <c r="C15" s="144">
        <v>85</v>
      </c>
      <c r="D15" s="51" t="s">
        <v>13</v>
      </c>
      <c r="E15" s="48">
        <f>G15+H15+J15+I15</f>
        <v>37.906874999999999</v>
      </c>
      <c r="F15" s="199">
        <f>E15*C15</f>
        <v>3222.0843749999999</v>
      </c>
      <c r="G15" s="48">
        <v>10.4625</v>
      </c>
      <c r="H15" s="48">
        <v>22.5</v>
      </c>
      <c r="I15" s="48">
        <f>IF(D15=0," ",(G15)*([1]Details!$C$4+[1]Details!$C$8))</f>
        <v>1.5693750000000002</v>
      </c>
      <c r="J15" s="199">
        <f>IF(D15=0," ",(H15)*([1]Details!$C$6+[1]Details!$C$8))</f>
        <v>3.3750000000000004</v>
      </c>
      <c r="K15" s="59">
        <f>+G15*C15</f>
        <v>889.3125</v>
      </c>
      <c r="L15" s="48">
        <f>+H15*C15</f>
        <v>1912.5</v>
      </c>
      <c r="M15" s="48">
        <f>IF(D15=0," ",(I15*C15))</f>
        <v>133.39687500000002</v>
      </c>
      <c r="N15" s="199">
        <f>IF(D15=0," ",(J15*C15))</f>
        <v>286.87500000000006</v>
      </c>
    </row>
    <row r="16" spans="1:14" s="21" customFormat="1" ht="18.5" x14ac:dyDescent="0.45">
      <c r="A16" s="75" t="str">
        <f>IF(F16&lt;&gt;"",(LARGE(A$9:A15,1)+1),"")</f>
        <v/>
      </c>
      <c r="B16" s="150"/>
      <c r="C16" s="144"/>
      <c r="D16" s="51"/>
      <c r="E16" s="48"/>
      <c r="F16" s="199"/>
      <c r="G16" s="48"/>
      <c r="H16" s="48"/>
      <c r="I16" s="48"/>
      <c r="J16" s="199"/>
      <c r="K16" s="214"/>
      <c r="L16" s="20"/>
      <c r="M16" s="20"/>
      <c r="N16" s="199"/>
    </row>
    <row r="17" spans="1:14" s="21" customFormat="1" ht="18.5" x14ac:dyDescent="0.45">
      <c r="A17" s="75" t="str">
        <f>IF(F17&lt;&gt;"",(LARGE(A$9:A16,1)+1),"")</f>
        <v/>
      </c>
      <c r="B17" s="164" t="s">
        <v>61</v>
      </c>
      <c r="C17" s="144"/>
      <c r="D17" s="51"/>
      <c r="E17" s="48"/>
      <c r="F17" s="199"/>
      <c r="G17" s="48"/>
      <c r="H17" s="48"/>
      <c r="I17" s="48"/>
      <c r="J17" s="199"/>
      <c r="K17" s="214"/>
      <c r="L17" s="20"/>
      <c r="M17" s="20"/>
      <c r="N17" s="199"/>
    </row>
    <row r="18" spans="1:14" s="21" customFormat="1" ht="18.5" x14ac:dyDescent="0.45">
      <c r="A18" s="75" t="str">
        <f>IF(F18&lt;&gt;"",(LARGE(A$9:A17,1)+1),"")</f>
        <v/>
      </c>
      <c r="B18" s="38"/>
      <c r="C18" s="152"/>
      <c r="D18" s="51"/>
      <c r="E18" s="48"/>
      <c r="F18" s="199"/>
      <c r="G18" s="48"/>
      <c r="H18" s="48"/>
      <c r="I18" s="48"/>
      <c r="J18" s="199"/>
      <c r="K18" s="214"/>
      <c r="L18" s="20"/>
      <c r="M18" s="20"/>
      <c r="N18" s="199"/>
    </row>
    <row r="19" spans="1:14" s="21" customFormat="1" ht="18.5" x14ac:dyDescent="0.45">
      <c r="A19" s="75">
        <f>IF(F19&lt;&gt;"",(LARGE(A$9:A18,1)+1),"")</f>
        <v>3</v>
      </c>
      <c r="B19" s="150" t="s">
        <v>303</v>
      </c>
      <c r="C19" s="144">
        <v>16.98</v>
      </c>
      <c r="D19" s="51" t="s">
        <v>13</v>
      </c>
      <c r="E19" s="48">
        <f t="shared" ref="E19:E35" si="5">G19+H19+J19+I19</f>
        <v>42.961125000000003</v>
      </c>
      <c r="F19" s="199">
        <f t="shared" ref="F19:F35" si="6">E19*C19</f>
        <v>729.47990250000009</v>
      </c>
      <c r="G19" s="48">
        <v>11.8575</v>
      </c>
      <c r="H19" s="48">
        <v>25.5</v>
      </c>
      <c r="I19" s="48">
        <f>IF(D19=0," ",(G19)*([1]Details!$C$4+[1]Details!$C$8))</f>
        <v>1.7786250000000003</v>
      </c>
      <c r="J19" s="199">
        <f>IF(D19=0," ",(H19)*([1]Details!$C$6+[1]Details!$C$8))</f>
        <v>3.8250000000000006</v>
      </c>
      <c r="K19" s="59">
        <f t="shared" ref="K19:K35" si="7">+G19*C19</f>
        <v>201.34035</v>
      </c>
      <c r="L19" s="48">
        <f t="shared" ref="L19:L35" si="8">+H19*C19</f>
        <v>432.99</v>
      </c>
      <c r="M19" s="48">
        <f t="shared" ref="M19:M35" si="9">IF(D19=0," ",(I19*C19))</f>
        <v>30.201052500000007</v>
      </c>
      <c r="N19" s="199">
        <f t="shared" ref="N19:N35" si="10">IF(D19=0," ",(J19*C19))</f>
        <v>64.94850000000001</v>
      </c>
    </row>
    <row r="20" spans="1:14" s="21" customFormat="1" ht="18.5" x14ac:dyDescent="0.45">
      <c r="A20" s="75" t="str">
        <f>IF(F20&lt;&gt;"",(LARGE(A$9:A19,1)+1),"")</f>
        <v/>
      </c>
      <c r="B20" s="150"/>
      <c r="C20" s="144"/>
      <c r="D20" s="51"/>
      <c r="E20" s="48"/>
      <c r="F20" s="199"/>
      <c r="G20" s="48"/>
      <c r="H20" s="48"/>
      <c r="I20" s="48"/>
      <c r="J20" s="199"/>
      <c r="K20" s="59"/>
      <c r="L20" s="48"/>
      <c r="M20" s="48"/>
      <c r="N20" s="199"/>
    </row>
    <row r="21" spans="1:14" s="21" customFormat="1" ht="18.5" x14ac:dyDescent="0.45">
      <c r="A21" s="75">
        <f>IF(F21&lt;&gt;"",(LARGE(A$9:A20,1)+1),"")</f>
        <v>4</v>
      </c>
      <c r="B21" s="150" t="s">
        <v>304</v>
      </c>
      <c r="C21" s="144">
        <v>8.1199999999999992</v>
      </c>
      <c r="D21" s="51" t="s">
        <v>13</v>
      </c>
      <c r="E21" s="48">
        <f t="shared" si="5"/>
        <v>283.88037500000002</v>
      </c>
      <c r="F21" s="199">
        <f t="shared" si="6"/>
        <v>2305.1086449999998</v>
      </c>
      <c r="G21" s="48">
        <v>78.352500000000006</v>
      </c>
      <c r="H21" s="48">
        <v>168.5</v>
      </c>
      <c r="I21" s="48">
        <f>IF(D21=0," ",(G21)*([1]Details!$C$4+[1]Details!$C$8))</f>
        <v>11.752875000000003</v>
      </c>
      <c r="J21" s="199">
        <f>IF(D21=0," ",(H21)*([1]Details!$C$6+[1]Details!$C$8))</f>
        <v>25.275000000000002</v>
      </c>
      <c r="K21" s="59">
        <f t="shared" si="7"/>
        <v>636.22230000000002</v>
      </c>
      <c r="L21" s="48">
        <f t="shared" si="8"/>
        <v>1368.2199999999998</v>
      </c>
      <c r="M21" s="48">
        <f t="shared" si="9"/>
        <v>95.433345000000017</v>
      </c>
      <c r="N21" s="199">
        <f t="shared" si="10"/>
        <v>205.233</v>
      </c>
    </row>
    <row r="22" spans="1:14" s="21" customFormat="1" ht="18.5" x14ac:dyDescent="0.45">
      <c r="A22" s="75" t="str">
        <f>IF(F22&lt;&gt;"",(LARGE(A$9:A21,1)+1),"")</f>
        <v/>
      </c>
      <c r="B22" s="150"/>
      <c r="C22" s="144"/>
      <c r="D22" s="51"/>
      <c r="E22" s="48"/>
      <c r="F22" s="199"/>
      <c r="G22" s="48"/>
      <c r="H22" s="48"/>
      <c r="I22" s="48"/>
      <c r="J22" s="199"/>
      <c r="K22" s="59"/>
      <c r="L22" s="48"/>
      <c r="M22" s="48"/>
      <c r="N22" s="199"/>
    </row>
    <row r="23" spans="1:14" s="21" customFormat="1" ht="18.5" x14ac:dyDescent="0.45">
      <c r="A23" s="75">
        <f>IF(F23&lt;&gt;"",(LARGE(A$9:A22,1)+1),"")</f>
        <v>5</v>
      </c>
      <c r="B23" s="150" t="s">
        <v>305</v>
      </c>
      <c r="C23" s="144">
        <v>5.22</v>
      </c>
      <c r="D23" s="51" t="s">
        <v>13</v>
      </c>
      <c r="E23" s="48">
        <f t="shared" si="5"/>
        <v>283.88037500000002</v>
      </c>
      <c r="F23" s="199">
        <f t="shared" si="6"/>
        <v>1481.8555575</v>
      </c>
      <c r="G23" s="48">
        <v>78.352500000000006</v>
      </c>
      <c r="H23" s="48">
        <v>168.5</v>
      </c>
      <c r="I23" s="48">
        <f>IF(D23=0," ",(G23)*([1]Details!$C$4+[1]Details!$C$8))</f>
        <v>11.752875000000003</v>
      </c>
      <c r="J23" s="199">
        <f>IF(D23=0," ",(H23)*([1]Details!$C$6+[1]Details!$C$8))</f>
        <v>25.275000000000002</v>
      </c>
      <c r="K23" s="59">
        <f t="shared" si="7"/>
        <v>409.00004999999999</v>
      </c>
      <c r="L23" s="48">
        <f t="shared" si="8"/>
        <v>879.56999999999994</v>
      </c>
      <c r="M23" s="48">
        <f t="shared" si="9"/>
        <v>61.350007500000011</v>
      </c>
      <c r="N23" s="199">
        <f t="shared" si="10"/>
        <v>131.93550000000002</v>
      </c>
    </row>
    <row r="24" spans="1:14" s="21" customFormat="1" ht="18.5" x14ac:dyDescent="0.45">
      <c r="A24" s="75" t="str">
        <f>IF(F24&lt;&gt;"",(LARGE(A$9:A23,1)+1),"")</f>
        <v/>
      </c>
      <c r="B24" s="150"/>
      <c r="C24" s="144"/>
      <c r="D24" s="51"/>
      <c r="E24" s="48"/>
      <c r="F24" s="199"/>
      <c r="G24" s="48"/>
      <c r="H24" s="48"/>
      <c r="I24" s="48"/>
      <c r="J24" s="199"/>
      <c r="K24" s="59"/>
      <c r="L24" s="48"/>
      <c r="M24" s="48"/>
      <c r="N24" s="199"/>
    </row>
    <row r="25" spans="1:14" s="21" customFormat="1" ht="18.5" x14ac:dyDescent="0.45">
      <c r="A25" s="75">
        <f>IF(F25&lt;&gt;"",(LARGE(A$9:A24,1)+1),"")</f>
        <v>6</v>
      </c>
      <c r="B25" s="150" t="s">
        <v>397</v>
      </c>
      <c r="C25" s="144">
        <v>8.11</v>
      </c>
      <c r="D25" s="51" t="s">
        <v>13</v>
      </c>
      <c r="E25" s="48">
        <f t="shared" si="5"/>
        <v>211.436125</v>
      </c>
      <c r="F25" s="199">
        <f t="shared" si="6"/>
        <v>1714.7469737499998</v>
      </c>
      <c r="G25" s="48">
        <v>58.357500000000002</v>
      </c>
      <c r="H25" s="48">
        <v>125.5</v>
      </c>
      <c r="I25" s="48">
        <f>IF(D25=0," ",(G25)*([1]Details!$C$4+[1]Details!$C$8))</f>
        <v>8.7536250000000013</v>
      </c>
      <c r="J25" s="199">
        <f>IF(D25=0," ",(H25)*([1]Details!$C$6+[1]Details!$C$8))</f>
        <v>18.825000000000003</v>
      </c>
      <c r="K25" s="59">
        <f t="shared" si="7"/>
        <v>473.27932499999997</v>
      </c>
      <c r="L25" s="48">
        <f t="shared" si="8"/>
        <v>1017.8049999999999</v>
      </c>
      <c r="M25" s="48">
        <f t="shared" si="9"/>
        <v>70.991898750000004</v>
      </c>
      <c r="N25" s="199">
        <f t="shared" si="10"/>
        <v>152.67075</v>
      </c>
    </row>
    <row r="26" spans="1:14" s="21" customFormat="1" ht="18.5" x14ac:dyDescent="0.45">
      <c r="A26" s="75" t="str">
        <f>IF(F26&lt;&gt;"",(LARGE(A$9:A25,1)+1),"")</f>
        <v/>
      </c>
      <c r="B26" s="150"/>
      <c r="C26" s="144"/>
      <c r="D26" s="51"/>
      <c r="E26" s="48"/>
      <c r="F26" s="199"/>
      <c r="G26" s="48"/>
      <c r="H26" s="48"/>
      <c r="I26" s="48"/>
      <c r="J26" s="199"/>
      <c r="K26" s="59"/>
      <c r="L26" s="48"/>
      <c r="M26" s="48"/>
      <c r="N26" s="199"/>
    </row>
    <row r="27" spans="1:14" s="21" customFormat="1" ht="18.5" x14ac:dyDescent="0.45">
      <c r="A27" s="75">
        <f>IF(F27&lt;&gt;"",(LARGE(A$9:A26,1)+1),"")</f>
        <v>7</v>
      </c>
      <c r="B27" s="150" t="s">
        <v>306</v>
      </c>
      <c r="C27" s="144">
        <v>3.24</v>
      </c>
      <c r="D27" s="51" t="s">
        <v>13</v>
      </c>
      <c r="E27" s="48">
        <f t="shared" si="5"/>
        <v>245.13112500000003</v>
      </c>
      <c r="F27" s="199">
        <f t="shared" si="6"/>
        <v>794.22484500000019</v>
      </c>
      <c r="G27" s="48">
        <v>67.657499999999999</v>
      </c>
      <c r="H27" s="48">
        <v>145.5</v>
      </c>
      <c r="I27" s="48">
        <f>IF(D27=0," ",(G27)*([1]Details!$C$4+[1]Details!$C$8))</f>
        <v>10.148625000000001</v>
      </c>
      <c r="J27" s="199">
        <f>IF(D27=0," ",(H27)*([1]Details!$C$6+[1]Details!$C$8))</f>
        <v>21.825000000000003</v>
      </c>
      <c r="K27" s="59">
        <f t="shared" si="7"/>
        <v>219.21030000000002</v>
      </c>
      <c r="L27" s="48">
        <f t="shared" si="8"/>
        <v>471.42</v>
      </c>
      <c r="M27" s="48">
        <f t="shared" si="9"/>
        <v>32.881545000000003</v>
      </c>
      <c r="N27" s="199">
        <f t="shared" si="10"/>
        <v>70.713000000000008</v>
      </c>
    </row>
    <row r="28" spans="1:14" s="21" customFormat="1" ht="18.5" x14ac:dyDescent="0.45">
      <c r="A28" s="75" t="str">
        <f>IF(F28&lt;&gt;"",(LARGE(A$9:A27,1)+1),"")</f>
        <v/>
      </c>
      <c r="B28" s="150"/>
      <c r="C28" s="144"/>
      <c r="D28" s="51"/>
      <c r="E28" s="48"/>
      <c r="F28" s="199"/>
      <c r="G28" s="48"/>
      <c r="H28" s="48"/>
      <c r="I28" s="48"/>
      <c r="J28" s="199"/>
      <c r="K28" s="59"/>
      <c r="L28" s="48"/>
      <c r="M28" s="48"/>
      <c r="N28" s="199"/>
    </row>
    <row r="29" spans="1:14" s="21" customFormat="1" ht="18.5" x14ac:dyDescent="0.45">
      <c r="A29" s="75">
        <f>IF(F29&lt;&gt;"",(LARGE(A$9:A28,1)+1),"")</f>
        <v>8</v>
      </c>
      <c r="B29" s="150" t="s">
        <v>398</v>
      </c>
      <c r="C29" s="144">
        <v>5.21</v>
      </c>
      <c r="D29" s="51" t="s">
        <v>13</v>
      </c>
      <c r="E29" s="48">
        <f t="shared" si="5"/>
        <v>216.490375</v>
      </c>
      <c r="F29" s="199">
        <f t="shared" si="6"/>
        <v>1127.91485375</v>
      </c>
      <c r="G29" s="48">
        <v>59.752500000000005</v>
      </c>
      <c r="H29" s="48">
        <v>128.5</v>
      </c>
      <c r="I29" s="48">
        <f>IF(D29=0," ",(G29)*([1]Details!$C$4+[1]Details!$C$8))</f>
        <v>8.9628750000000021</v>
      </c>
      <c r="J29" s="199">
        <f>IF(D29=0," ",(H29)*([1]Details!$C$6+[1]Details!$C$8))</f>
        <v>19.275000000000002</v>
      </c>
      <c r="K29" s="59">
        <f t="shared" si="7"/>
        <v>311.31052500000004</v>
      </c>
      <c r="L29" s="48">
        <f t="shared" si="8"/>
        <v>669.48500000000001</v>
      </c>
      <c r="M29" s="48">
        <f t="shared" si="9"/>
        <v>46.696578750000008</v>
      </c>
      <c r="N29" s="199">
        <f t="shared" si="10"/>
        <v>100.42275000000001</v>
      </c>
    </row>
    <row r="30" spans="1:14" s="21" customFormat="1" ht="18.5" x14ac:dyDescent="0.45">
      <c r="A30" s="75" t="str">
        <f>IF(F30&lt;&gt;"",(LARGE(A$9:A29,1)+1),"")</f>
        <v/>
      </c>
      <c r="B30" s="150"/>
      <c r="C30" s="144"/>
      <c r="D30" s="51"/>
      <c r="E30" s="48"/>
      <c r="F30" s="199"/>
      <c r="G30" s="48"/>
      <c r="H30" s="48"/>
      <c r="I30" s="48"/>
      <c r="J30" s="199"/>
      <c r="K30" s="59"/>
      <c r="L30" s="48"/>
      <c r="M30" s="48"/>
      <c r="N30" s="199"/>
    </row>
    <row r="31" spans="1:14" s="21" customFormat="1" ht="18.5" x14ac:dyDescent="0.45">
      <c r="A31" s="75">
        <f>IF(F31&lt;&gt;"",(LARGE(A$9:A30,1)+1),"")</f>
        <v>9</v>
      </c>
      <c r="B31" s="150" t="s">
        <v>399</v>
      </c>
      <c r="C31" s="144">
        <v>5.23</v>
      </c>
      <c r="D31" s="51" t="s">
        <v>13</v>
      </c>
      <c r="E31" s="48">
        <f t="shared" si="5"/>
        <v>223.229375</v>
      </c>
      <c r="F31" s="199">
        <f t="shared" si="6"/>
        <v>1167.4896312500002</v>
      </c>
      <c r="G31" s="48">
        <v>61.612500000000004</v>
      </c>
      <c r="H31" s="48">
        <v>132.5</v>
      </c>
      <c r="I31" s="48">
        <f>IF(D31=0," ",(G31)*([1]Details!$C$4+[1]Details!$C$8))</f>
        <v>9.2418750000000021</v>
      </c>
      <c r="J31" s="199">
        <f>IF(D31=0," ",(H31)*([1]Details!$C$6+[1]Details!$C$8))</f>
        <v>19.875000000000004</v>
      </c>
      <c r="K31" s="59">
        <f t="shared" si="7"/>
        <v>322.23337500000002</v>
      </c>
      <c r="L31" s="48">
        <f t="shared" si="8"/>
        <v>692.97500000000002</v>
      </c>
      <c r="M31" s="48">
        <f t="shared" si="9"/>
        <v>48.335006250000013</v>
      </c>
      <c r="N31" s="199">
        <f t="shared" si="10"/>
        <v>103.94625000000002</v>
      </c>
    </row>
    <row r="32" spans="1:14" s="21" customFormat="1" ht="18.5" x14ac:dyDescent="0.45">
      <c r="A32" s="75" t="str">
        <f>IF(F32&lt;&gt;"",(LARGE(A$9:A31,1)+1),"")</f>
        <v/>
      </c>
      <c r="B32" s="150"/>
      <c r="C32" s="144"/>
      <c r="D32" s="51"/>
      <c r="E32" s="48"/>
      <c r="F32" s="199"/>
      <c r="G32" s="48"/>
      <c r="H32" s="48"/>
      <c r="I32" s="48"/>
      <c r="J32" s="199"/>
      <c r="K32" s="59"/>
      <c r="L32" s="48"/>
      <c r="M32" s="48"/>
      <c r="N32" s="199"/>
    </row>
    <row r="33" spans="1:16" s="21" customFormat="1" ht="18.5" x14ac:dyDescent="0.45">
      <c r="A33" s="75">
        <f>IF(F33&lt;&gt;"",(LARGE(A$9:A32,1)+1),"")</f>
        <v>10</v>
      </c>
      <c r="B33" s="150" t="s">
        <v>307</v>
      </c>
      <c r="C33" s="144">
        <v>12.64</v>
      </c>
      <c r="D33" s="51" t="s">
        <v>13</v>
      </c>
      <c r="E33" s="48">
        <f t="shared" si="5"/>
        <v>240.076875</v>
      </c>
      <c r="F33" s="199">
        <f t="shared" si="6"/>
        <v>3034.5717</v>
      </c>
      <c r="G33" s="48">
        <v>66.262500000000003</v>
      </c>
      <c r="H33" s="48">
        <v>142.5</v>
      </c>
      <c r="I33" s="48">
        <f>IF(D33=0," ",(G33)*([1]Details!$C$4+[1]Details!$C$8))</f>
        <v>9.9393750000000018</v>
      </c>
      <c r="J33" s="199">
        <f>IF(D33=0," ",(H33)*([1]Details!$C$6+[1]Details!$C$8))</f>
        <v>21.375000000000004</v>
      </c>
      <c r="K33" s="59">
        <f t="shared" si="7"/>
        <v>837.55800000000011</v>
      </c>
      <c r="L33" s="48">
        <f t="shared" si="8"/>
        <v>1801.2</v>
      </c>
      <c r="M33" s="48">
        <f t="shared" si="9"/>
        <v>125.63370000000003</v>
      </c>
      <c r="N33" s="199">
        <f t="shared" si="10"/>
        <v>270.18000000000006</v>
      </c>
    </row>
    <row r="34" spans="1:16" s="21" customFormat="1" ht="18.5" x14ac:dyDescent="0.45">
      <c r="A34" s="75" t="str">
        <f>IF(F34&lt;&gt;"",(LARGE(A$9:A33,1)+1),"")</f>
        <v/>
      </c>
      <c r="B34" s="150"/>
      <c r="C34" s="144"/>
      <c r="D34" s="51"/>
      <c r="E34" s="48"/>
      <c r="F34" s="199"/>
      <c r="G34" s="48"/>
      <c r="H34" s="48"/>
      <c r="I34" s="48"/>
      <c r="J34" s="199"/>
      <c r="K34" s="59"/>
      <c r="L34" s="48"/>
      <c r="M34" s="48"/>
      <c r="N34" s="199"/>
    </row>
    <row r="35" spans="1:16" s="21" customFormat="1" ht="18.5" x14ac:dyDescent="0.45">
      <c r="A35" s="75">
        <f>IF(F35&lt;&gt;"",(LARGE(A$9:A34,1)+1),"")</f>
        <v>11</v>
      </c>
      <c r="B35" s="150" t="s">
        <v>308</v>
      </c>
      <c r="C35" s="144">
        <v>2.11</v>
      </c>
      <c r="D35" s="51" t="s">
        <v>13</v>
      </c>
      <c r="E35" s="48">
        <f t="shared" si="5"/>
        <v>227.44125</v>
      </c>
      <c r="F35" s="199">
        <f t="shared" si="6"/>
        <v>479.90103749999997</v>
      </c>
      <c r="G35" s="48">
        <v>62.775000000000006</v>
      </c>
      <c r="H35" s="48">
        <v>135</v>
      </c>
      <c r="I35" s="48">
        <f>IF(D35=0," ",(G35)*([1]Details!$C$4+[1]Details!$C$8))</f>
        <v>9.4162500000000016</v>
      </c>
      <c r="J35" s="199">
        <f>IF(D35=0," ",(H35)*([1]Details!$C$6+[1]Details!$C$8))</f>
        <v>20.250000000000004</v>
      </c>
      <c r="K35" s="59">
        <f t="shared" si="7"/>
        <v>132.45525000000001</v>
      </c>
      <c r="L35" s="48">
        <f t="shared" si="8"/>
        <v>284.84999999999997</v>
      </c>
      <c r="M35" s="48">
        <f t="shared" si="9"/>
        <v>19.868287500000001</v>
      </c>
      <c r="N35" s="199">
        <f t="shared" si="10"/>
        <v>42.727500000000006</v>
      </c>
    </row>
    <row r="36" spans="1:16" s="21" customFormat="1" ht="18.5" x14ac:dyDescent="0.45">
      <c r="A36" s="75"/>
      <c r="B36" s="151"/>
      <c r="C36" s="152"/>
      <c r="D36" s="51"/>
      <c r="E36" s="48"/>
      <c r="F36" s="199"/>
      <c r="G36" s="59"/>
      <c r="H36" s="48"/>
      <c r="I36" s="48"/>
      <c r="J36" s="199"/>
      <c r="K36" s="214"/>
      <c r="L36" s="20"/>
      <c r="M36" s="20"/>
      <c r="N36" s="199"/>
      <c r="P36" s="72"/>
    </row>
    <row r="37" spans="1:16" s="21" customFormat="1" ht="19" thickBot="1" x14ac:dyDescent="0.5">
      <c r="A37" s="75"/>
      <c r="B37" s="154"/>
      <c r="C37" s="144"/>
      <c r="D37" s="60"/>
      <c r="E37" s="62" t="s">
        <v>97</v>
      </c>
      <c r="F37" s="200">
        <f>SUM(F8:F35)</f>
        <v>24948.392933750001</v>
      </c>
      <c r="G37" s="59"/>
      <c r="H37" s="48"/>
      <c r="I37" s="48"/>
      <c r="J37" s="199" t="str">
        <f>IF(D37=0," ",(G37+H37)*(Details!$C$4+Details!$C$6))</f>
        <v xml:space="preserve"> </v>
      </c>
      <c r="K37" s="200">
        <f>SUM(K8:K35)</f>
        <v>6885.8897249999991</v>
      </c>
      <c r="L37" s="200">
        <f>SUM(L8:L35)</f>
        <v>14808.365000000002</v>
      </c>
      <c r="M37" s="200">
        <f>SUM(M8:M35)</f>
        <v>1032.88345875</v>
      </c>
      <c r="N37" s="200">
        <f>SUM(N8:N35)</f>
        <v>2221.2547500000001</v>
      </c>
      <c r="O37" s="55"/>
      <c r="P37" s="72">
        <f>+F37-K37-L37-N37-M37</f>
        <v>0</v>
      </c>
    </row>
    <row r="38" spans="1:16" s="21" customFormat="1" ht="19.5" thickTop="1" thickBot="1" x14ac:dyDescent="0.5">
      <c r="A38" s="161" t="str">
        <f>IF(F38&lt;&gt;"",(LARGE(A$7:A37,1)+1),"")</f>
        <v/>
      </c>
      <c r="B38" s="156"/>
      <c r="C38" s="157"/>
      <c r="D38" s="63"/>
      <c r="E38" s="65"/>
      <c r="F38" s="67"/>
      <c r="G38" s="66"/>
      <c r="H38" s="65"/>
      <c r="I38" s="65"/>
      <c r="J38" s="67" t="str">
        <f>IF(D38=0," ",(G38+H38)*(Details!$C$4+Details!$C$6))</f>
        <v xml:space="preserve"> </v>
      </c>
      <c r="K38" s="227"/>
      <c r="L38" s="227"/>
      <c r="M38" s="227"/>
      <c r="N38" s="187"/>
      <c r="O38" s="55"/>
    </row>
    <row r="39" spans="1:16" x14ac:dyDescent="0.35">
      <c r="J39" s="16"/>
    </row>
    <row r="40" spans="1:16" x14ac:dyDescent="0.35">
      <c r="J40" s="16"/>
    </row>
  </sheetData>
  <mergeCells count="2">
    <mergeCell ref="G5:J5"/>
    <mergeCell ref="K5:N5"/>
  </mergeCells>
  <conditionalFormatting sqref="G8:G10433">
    <cfRule type="notContainsBlanks" dxfId="67" priority="6">
      <formula>LEN(TRIM(G8))&gt;0</formula>
    </cfRule>
  </conditionalFormatting>
  <conditionalFormatting sqref="H9:H15">
    <cfRule type="notContainsBlanks" dxfId="66" priority="55">
      <formula>LEN(TRIM(H9))&gt;0</formula>
    </cfRule>
  </conditionalFormatting>
  <conditionalFormatting sqref="H19:H35">
    <cfRule type="notContainsBlanks" dxfId="65" priority="2">
      <formula>LEN(TRIM(H19))&gt;0</formula>
    </cfRule>
  </conditionalFormatting>
  <conditionalFormatting sqref="H8:I8">
    <cfRule type="notContainsBlanks" dxfId="64" priority="97">
      <formula>LEN(TRIM(H8))&gt;0</formula>
    </cfRule>
  </conditionalFormatting>
  <conditionalFormatting sqref="H36:I10533">
    <cfRule type="notContainsBlanks" dxfId="63" priority="70">
      <formula>LEN(TRIM(H36))&gt;0</formula>
    </cfRule>
  </conditionalFormatting>
  <conditionalFormatting sqref="I10 I14">
    <cfRule type="notContainsBlanks" dxfId="62" priority="5">
      <formula>LEN(TRIM(I10))&gt;0</formula>
    </cfRule>
  </conditionalFormatting>
  <conditionalFormatting sqref="I12 H16:I18">
    <cfRule type="notContainsBlanks" dxfId="61" priority="4">
      <formula>LEN(TRIM(H12))&gt;0</formula>
    </cfRule>
  </conditionalFormatting>
  <conditionalFormatting sqref="P37">
    <cfRule type="cellIs" dxfId="60" priority="91" operator="equal">
      <formula>0</formula>
    </cfRule>
    <cfRule type="cellIs" dxfId="59" priority="92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pageSetUpPr fitToPage="1"/>
  </sheetPr>
  <dimension ref="A1:P24"/>
  <sheetViews>
    <sheetView zoomScale="55" zoomScaleNormal="55" workbookViewId="0">
      <selection activeCell="F24" sqref="F2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4" x14ac:dyDescent="0.35">
      <c r="A2" s="15"/>
      <c r="B2" s="3" t="str">
        <f>+'Qual, Excl &amp; Assum'!B2</f>
        <v>PROJECT NAME: SQUAIRRELS LEAP GUILDFORD ROAD, CHERTSEY KT16 9RU</v>
      </c>
      <c r="F2" s="35"/>
      <c r="J2" s="16"/>
    </row>
    <row r="3" spans="1:14" x14ac:dyDescent="0.35">
      <c r="A3" s="15"/>
      <c r="B3" s="53" t="str">
        <f>+'Qual, Excl &amp; Assum'!B3</f>
        <v>DATE: 25TH NOVEMBER 2025</v>
      </c>
      <c r="F3" s="35"/>
      <c r="J3" s="16"/>
    </row>
    <row r="4" spans="1:14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4">
      <c r="A5" s="206"/>
      <c r="B5" s="207" t="s">
        <v>21</v>
      </c>
      <c r="C5" s="208"/>
      <c r="D5" s="209"/>
      <c r="E5" s="210"/>
      <c r="F5" s="216"/>
      <c r="G5" s="360" t="s">
        <v>121</v>
      </c>
      <c r="H5" s="360"/>
      <c r="I5" s="360"/>
      <c r="J5" s="360"/>
      <c r="K5" s="359" t="s">
        <v>122</v>
      </c>
      <c r="L5" s="360"/>
      <c r="M5" s="360"/>
      <c r="N5" s="361"/>
    </row>
    <row r="6" spans="1:14" s="21" customFormat="1" ht="18.5" x14ac:dyDescent="0.45">
      <c r="A6" s="49"/>
      <c r="B6" s="38"/>
      <c r="C6" s="144"/>
      <c r="D6" s="38"/>
      <c r="E6" s="64"/>
      <c r="F6" s="197"/>
      <c r="G6" s="64"/>
      <c r="H6" s="64"/>
      <c r="I6" s="64"/>
      <c r="J6" s="38"/>
      <c r="K6" s="214"/>
      <c r="L6" s="20"/>
      <c r="M6" s="20"/>
      <c r="N6" s="27"/>
    </row>
    <row r="7" spans="1:14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4" s="21" customFormat="1" ht="18.5" x14ac:dyDescent="0.45">
      <c r="A8" s="49"/>
      <c r="B8" s="151"/>
      <c r="C8" s="147"/>
      <c r="D8" s="61"/>
      <c r="E8" s="62"/>
      <c r="F8" s="198"/>
      <c r="G8" s="59"/>
      <c r="H8" s="48"/>
      <c r="I8" s="48"/>
      <c r="J8" s="61"/>
      <c r="K8" s="214"/>
      <c r="L8" s="20"/>
      <c r="M8" s="20"/>
      <c r="N8" s="199" t="str">
        <f t="shared" ref="N8" si="0">IF(D8=0," ",(J8*C8))</f>
        <v xml:space="preserve"> </v>
      </c>
    </row>
    <row r="9" spans="1:14" s="21" customFormat="1" ht="18.5" x14ac:dyDescent="0.45">
      <c r="A9" s="75" t="str">
        <f>IF(F9&lt;&gt;"",(LARGE(A$7:A8,1)+1),"")</f>
        <v/>
      </c>
      <c r="B9" s="164" t="s">
        <v>247</v>
      </c>
      <c r="C9" s="144"/>
      <c r="D9" s="51"/>
      <c r="E9" s="48"/>
      <c r="F9" s="199"/>
      <c r="G9" s="59"/>
      <c r="H9" s="48"/>
      <c r="I9" s="48" t="str">
        <f>IF(D9=0," ",(G9)*(Details!$C$4+Details!$C$8))</f>
        <v xml:space="preserve"> </v>
      </c>
      <c r="J9" s="199" t="str">
        <f>IF(D9=0," ",(H9)*(Details!$C$6+Details!$C$8))</f>
        <v xml:space="preserve"> </v>
      </c>
      <c r="K9" s="59"/>
      <c r="L9" s="48"/>
      <c r="M9" s="48" t="str">
        <f t="shared" ref="M9" si="1">IF(D9=0," ",(I9*C9))</f>
        <v xml:space="preserve"> </v>
      </c>
      <c r="N9" s="199" t="str">
        <f t="shared" ref="N9" si="2">IF(D9=0," ",(J9*C9))</f>
        <v xml:space="preserve"> </v>
      </c>
    </row>
    <row r="10" spans="1:14" s="21" customFormat="1" ht="18.5" x14ac:dyDescent="0.45">
      <c r="A10" s="75"/>
      <c r="B10" s="164"/>
      <c r="C10" s="144"/>
      <c r="D10" s="51"/>
      <c r="E10" s="48"/>
      <c r="F10" s="199"/>
      <c r="G10" s="48"/>
      <c r="H10" s="48"/>
      <c r="I10" s="48"/>
      <c r="J10" s="199"/>
      <c r="K10" s="59"/>
      <c r="L10" s="48"/>
      <c r="M10" s="48"/>
      <c r="N10" s="199"/>
    </row>
    <row r="11" spans="1:14" s="21" customFormat="1" ht="18.5" x14ac:dyDescent="0.45">
      <c r="A11" s="49">
        <v>1</v>
      </c>
      <c r="B11" s="38" t="s">
        <v>254</v>
      </c>
      <c r="C11" s="144">
        <v>122.9</v>
      </c>
      <c r="D11" s="51" t="s">
        <v>10</v>
      </c>
      <c r="E11" s="48">
        <f>G11+H11+J11+I11</f>
        <v>24.007687499999999</v>
      </c>
      <c r="F11" s="199">
        <f>E11*C11</f>
        <v>2950.5447937500003</v>
      </c>
      <c r="G11" s="48">
        <v>6.6262500000000006</v>
      </c>
      <c r="H11" s="48">
        <v>14.25</v>
      </c>
      <c r="I11" s="48">
        <f>IF(D11=0," ",(G11)*(Details!$C$4+Details!$C$8))</f>
        <v>0.99393750000000025</v>
      </c>
      <c r="J11" s="199">
        <f>IF(D11=0," ",(H11)*(Details!$C$6+Details!$C$8))</f>
        <v>2.1375000000000002</v>
      </c>
      <c r="K11" s="59">
        <f>+G11*C11</f>
        <v>814.36612500000012</v>
      </c>
      <c r="L11" s="48">
        <f>+H11*C11</f>
        <v>1751.325</v>
      </c>
      <c r="M11" s="48">
        <f>IF(D11=0," ",(I11*C11))</f>
        <v>122.15491875000004</v>
      </c>
      <c r="N11" s="199">
        <f>IF(D11=0," ",(J11*C11))</f>
        <v>262.69875000000002</v>
      </c>
    </row>
    <row r="12" spans="1:14" s="21" customFormat="1" ht="18.5" x14ac:dyDescent="0.45">
      <c r="A12" s="49"/>
      <c r="B12" s="38"/>
      <c r="C12" s="144"/>
      <c r="D12" s="51"/>
      <c r="E12" s="48"/>
      <c r="F12" s="199"/>
      <c r="G12" s="48"/>
      <c r="H12" s="48"/>
      <c r="I12" s="48"/>
      <c r="J12" s="199"/>
      <c r="K12" s="59"/>
      <c r="L12" s="48"/>
      <c r="M12" s="48"/>
      <c r="N12" s="199"/>
    </row>
    <row r="13" spans="1:14" s="21" customFormat="1" ht="18.5" x14ac:dyDescent="0.45">
      <c r="A13" s="75">
        <f>IF(F13&lt;&gt;"",(LARGE(A$7:A11,1)+1),"")</f>
        <v>2</v>
      </c>
      <c r="B13" s="38" t="s">
        <v>255</v>
      </c>
      <c r="C13" s="144">
        <v>613.96</v>
      </c>
      <c r="D13" s="51" t="s">
        <v>10</v>
      </c>
      <c r="E13" s="48">
        <f>G13+H13+J13+I13</f>
        <v>24.007687499999999</v>
      </c>
      <c r="F13" s="199">
        <f>E13*C13</f>
        <v>14739.7598175</v>
      </c>
      <c r="G13" s="48">
        <v>6.6262500000000006</v>
      </c>
      <c r="H13" s="48">
        <v>14.25</v>
      </c>
      <c r="I13" s="48">
        <f>IF(D13=0," ",(G13)*(Details!$C$4+Details!$C$8))</f>
        <v>0.99393750000000025</v>
      </c>
      <c r="J13" s="199">
        <f>IF(D13=0," ",(H13)*(Details!$C$6+Details!$C$8))</f>
        <v>2.1375000000000002</v>
      </c>
      <c r="K13" s="59">
        <f>+G13*C13</f>
        <v>4068.2524500000004</v>
      </c>
      <c r="L13" s="48">
        <f>+H13*C13</f>
        <v>8748.93</v>
      </c>
      <c r="M13" s="48">
        <f>IF(D13=0," ",(I13*C13))</f>
        <v>610.23786750000022</v>
      </c>
      <c r="N13" s="199">
        <f>IF(D13=0," ",(J13*C13))</f>
        <v>1312.3395000000003</v>
      </c>
    </row>
    <row r="14" spans="1:14" s="21" customFormat="1" ht="18.5" x14ac:dyDescent="0.45">
      <c r="A14" s="49"/>
      <c r="B14" s="38"/>
      <c r="C14" s="144"/>
      <c r="D14" s="51"/>
      <c r="E14" s="48"/>
      <c r="F14" s="199"/>
      <c r="G14" s="48"/>
      <c r="H14" s="48"/>
      <c r="I14" s="48"/>
      <c r="J14" s="199"/>
      <c r="K14" s="59"/>
      <c r="L14" s="48"/>
      <c r="M14" s="48"/>
      <c r="N14" s="199"/>
    </row>
    <row r="15" spans="1:14" s="21" customFormat="1" ht="18.5" x14ac:dyDescent="0.45">
      <c r="A15" s="75">
        <f>IF(F15&lt;&gt;"",(LARGE(A$7:A13,1)+1),"")</f>
        <v>3</v>
      </c>
      <c r="B15" s="38" t="s">
        <v>256</v>
      </c>
      <c r="C15" s="144">
        <v>247.81</v>
      </c>
      <c r="D15" s="51" t="s">
        <v>10</v>
      </c>
      <c r="E15" s="48">
        <f t="shared" ref="E15" si="3">G15+H15+J15+I15</f>
        <v>24.007687499999999</v>
      </c>
      <c r="F15" s="199">
        <f>E15*C15</f>
        <v>5949.3450393749999</v>
      </c>
      <c r="G15" s="48">
        <v>6.6262500000000006</v>
      </c>
      <c r="H15" s="48">
        <v>14.25</v>
      </c>
      <c r="I15" s="48">
        <f>IF(D15=0," ",(G15)*(Details!$C$4+Details!$C$8))</f>
        <v>0.99393750000000025</v>
      </c>
      <c r="J15" s="199">
        <f>IF(D15=0," ",(H15)*(Details!$C$6+Details!$C$8))</f>
        <v>2.1375000000000002</v>
      </c>
      <c r="K15" s="59">
        <f>+G15*C15</f>
        <v>1642.0510125000001</v>
      </c>
      <c r="L15" s="48">
        <f>+H15*C15</f>
        <v>3531.2925</v>
      </c>
      <c r="M15" s="48">
        <f>IF(D15=0," ",(I15*C15))</f>
        <v>246.30765187500006</v>
      </c>
      <c r="N15" s="199">
        <f>IF(D15=0," ",(J15*C15))</f>
        <v>529.69387500000005</v>
      </c>
    </row>
    <row r="16" spans="1:14" s="21" customFormat="1" ht="18.5" x14ac:dyDescent="0.45">
      <c r="A16" s="75"/>
      <c r="B16" s="38"/>
      <c r="C16" s="144"/>
      <c r="D16" s="51"/>
      <c r="E16" s="48"/>
      <c r="F16" s="199"/>
      <c r="G16" s="48"/>
      <c r="H16" s="48"/>
      <c r="I16" s="48"/>
      <c r="J16" s="199"/>
      <c r="K16" s="59"/>
      <c r="L16" s="48"/>
      <c r="M16" s="48"/>
      <c r="N16" s="199"/>
    </row>
    <row r="17" spans="1:16" s="21" customFormat="1" ht="18.5" x14ac:dyDescent="0.45">
      <c r="A17" s="75" t="str">
        <f>IF(F17&lt;&gt;"",(LARGE(A$7:A8,1)+1),"")</f>
        <v/>
      </c>
      <c r="B17" s="164" t="s">
        <v>55</v>
      </c>
      <c r="C17" s="144"/>
      <c r="D17" s="51"/>
      <c r="E17" s="48"/>
      <c r="F17" s="199"/>
      <c r="G17" s="48"/>
      <c r="H17" s="48"/>
      <c r="I17" s="48" t="str">
        <f>IF(D17=0," ",(G17)*(Details!$C$4+Details!$C$8))</f>
        <v xml:space="preserve"> </v>
      </c>
      <c r="J17" s="199" t="str">
        <f>IF(D17=0," ",(H17)*(Details!$C$6+Details!$C$8))</f>
        <v xml:space="preserve"> </v>
      </c>
      <c r="K17" s="59"/>
      <c r="L17" s="48"/>
      <c r="M17" s="48" t="str">
        <f t="shared" ref="M17" si="4">IF(D17=0," ",(I17*C17))</f>
        <v xml:space="preserve"> </v>
      </c>
      <c r="N17" s="199" t="str">
        <f>IF(D17=0," ",(J17*C17))</f>
        <v xml:space="preserve"> </v>
      </c>
    </row>
    <row r="18" spans="1:16" s="21" customFormat="1" ht="18.5" x14ac:dyDescent="0.45">
      <c r="A18" s="75"/>
      <c r="B18" s="38"/>
      <c r="C18" s="144"/>
      <c r="D18" s="51"/>
      <c r="E18" s="48"/>
      <c r="F18" s="199"/>
      <c r="G18" s="48"/>
      <c r="H18" s="48"/>
      <c r="I18" s="48"/>
      <c r="J18" s="199"/>
      <c r="K18" s="59"/>
      <c r="L18" s="48"/>
      <c r="M18" s="48"/>
      <c r="N18" s="199"/>
    </row>
    <row r="19" spans="1:16" s="21" customFormat="1" ht="18.5" x14ac:dyDescent="0.45">
      <c r="A19" s="75">
        <f>IF(F19&lt;&gt;"",(LARGE(A$7:A15,1)+1),"")</f>
        <v>4</v>
      </c>
      <c r="B19" s="38" t="s">
        <v>257</v>
      </c>
      <c r="C19" s="144">
        <v>35.72</v>
      </c>
      <c r="D19" s="51" t="s">
        <v>10</v>
      </c>
      <c r="E19" s="48">
        <f t="shared" ref="E19" si="5">G19+H19+J19+I19</f>
        <v>26.113624999999999</v>
      </c>
      <c r="F19" s="199">
        <f>E19*C19</f>
        <v>932.77868499999988</v>
      </c>
      <c r="G19" s="48">
        <v>7.2075000000000005</v>
      </c>
      <c r="H19" s="48">
        <v>15.5</v>
      </c>
      <c r="I19" s="48">
        <f>IF(D19=0," ",(G19)*(Details!$C$4+Details!$C$8))</f>
        <v>1.0811250000000003</v>
      </c>
      <c r="J19" s="199">
        <f>IF(D19=0," ",(H19)*(Details!$C$6+Details!$C$8))</f>
        <v>2.3250000000000002</v>
      </c>
      <c r="K19" s="59">
        <f>+G19*C19</f>
        <v>257.45190000000002</v>
      </c>
      <c r="L19" s="48">
        <f>+H19*C19</f>
        <v>553.66</v>
      </c>
      <c r="M19" s="48">
        <f>IF(D19=0," ",(I19*C19))</f>
        <v>38.617785000000012</v>
      </c>
      <c r="N19" s="199">
        <f>IF(D19=0," ",(J19*C19))</f>
        <v>83.049000000000007</v>
      </c>
    </row>
    <row r="20" spans="1:16" s="21" customFormat="1" ht="18.5" x14ac:dyDescent="0.45">
      <c r="A20" s="75"/>
      <c r="B20" s="38"/>
      <c r="C20" s="144"/>
      <c r="D20" s="51"/>
      <c r="E20" s="48"/>
      <c r="F20" s="199"/>
      <c r="G20" s="48"/>
      <c r="H20" s="48"/>
      <c r="I20" s="48"/>
      <c r="J20" s="199"/>
      <c r="K20" s="59"/>
      <c r="L20" s="48"/>
      <c r="M20" s="48"/>
      <c r="N20" s="199"/>
    </row>
    <row r="21" spans="1:16" s="21" customFormat="1" ht="18.5" x14ac:dyDescent="0.45">
      <c r="A21" s="75">
        <f>IF(F21&lt;&gt;"",(LARGE(A$7:A19,1)+1),"")</f>
        <v>5</v>
      </c>
      <c r="B21" s="38" t="s">
        <v>258</v>
      </c>
      <c r="C21" s="144">
        <v>374.88</v>
      </c>
      <c r="D21" s="51" t="s">
        <v>10</v>
      </c>
      <c r="E21" s="48">
        <f t="shared" ref="E21" si="6">G21+H21+J21+I21</f>
        <v>26.113624999999999</v>
      </c>
      <c r="F21" s="199">
        <f>E21*C21</f>
        <v>9789.4757399999999</v>
      </c>
      <c r="G21" s="48">
        <v>7.2075000000000005</v>
      </c>
      <c r="H21" s="48">
        <v>15.5</v>
      </c>
      <c r="I21" s="48">
        <f>IF(D21=0," ",(G21)*(Details!$C$4+Details!$C$8))</f>
        <v>1.0811250000000003</v>
      </c>
      <c r="J21" s="199">
        <f>IF(D21=0," ",(H21)*(Details!$C$6+Details!$C$8))</f>
        <v>2.3250000000000002</v>
      </c>
      <c r="K21" s="59">
        <f>+G21*C21</f>
        <v>2701.9476</v>
      </c>
      <c r="L21" s="48">
        <f>+H21*C21</f>
        <v>5810.64</v>
      </c>
      <c r="M21" s="48">
        <f>IF(D21=0," ",(I21*C21))</f>
        <v>405.29214000000013</v>
      </c>
      <c r="N21" s="199">
        <f>IF(D21=0," ",(J21*C21))</f>
        <v>871.596</v>
      </c>
    </row>
    <row r="22" spans="1:16" s="21" customFormat="1" ht="18.5" x14ac:dyDescent="0.45">
      <c r="A22" s="75" t="str">
        <f>IF(F22&lt;&gt;"",(LARGE(A$7:A21,1)+1),"")</f>
        <v/>
      </c>
      <c r="B22" s="151"/>
      <c r="C22" s="167"/>
      <c r="D22" s="51"/>
      <c r="E22" s="48"/>
      <c r="F22" s="199"/>
      <c r="G22" s="59"/>
      <c r="H22" s="48"/>
      <c r="I22" s="48"/>
      <c r="J22" s="199" t="str">
        <f>IF(D22=0," ",(G22+H22)*(Details!$C$4+Details!$C$6))</f>
        <v xml:space="preserve"> </v>
      </c>
      <c r="K22" s="214"/>
      <c r="L22" s="20"/>
      <c r="M22" s="20"/>
      <c r="N22" s="199"/>
      <c r="P22" s="72" t="s">
        <v>125</v>
      </c>
    </row>
    <row r="23" spans="1:16" s="21" customFormat="1" ht="19" thickBot="1" x14ac:dyDescent="0.5">
      <c r="A23" s="75"/>
      <c r="B23" s="160"/>
      <c r="C23" s="144"/>
      <c r="D23" s="60"/>
      <c r="E23" s="62" t="s">
        <v>97</v>
      </c>
      <c r="F23" s="200">
        <f>SUM(F8:F22)</f>
        <v>34361.904075625003</v>
      </c>
      <c r="G23" s="59"/>
      <c r="H23" s="48"/>
      <c r="I23" s="48"/>
      <c r="J23" s="199" t="str">
        <f>IF(D23=0," ",(G23+H23)*(Details!$C$4+Details!$C$6))</f>
        <v xml:space="preserve"> </v>
      </c>
      <c r="K23" s="200">
        <f>SUM(K8:K22)</f>
        <v>9484.0690875</v>
      </c>
      <c r="L23" s="200">
        <f>SUM(L8:L22)</f>
        <v>20395.8475</v>
      </c>
      <c r="M23" s="200">
        <f>SUM(M8:M22)</f>
        <v>1422.6103631250003</v>
      </c>
      <c r="N23" s="200">
        <f>SUM(N8:N22)</f>
        <v>3059.3771250000004</v>
      </c>
      <c r="O23" s="55"/>
      <c r="P23" s="72">
        <f>+F23-K23-L23-N23-M23</f>
        <v>2.7284841053187847E-12</v>
      </c>
    </row>
    <row r="24" spans="1:16" s="21" customFormat="1" ht="19.5" thickTop="1" thickBot="1" x14ac:dyDescent="0.5">
      <c r="A24" s="50"/>
      <c r="B24" s="162"/>
      <c r="C24" s="157"/>
      <c r="D24" s="63"/>
      <c r="E24" s="65"/>
      <c r="F24" s="67"/>
      <c r="G24" s="66"/>
      <c r="H24" s="65"/>
      <c r="I24" s="65"/>
      <c r="J24" s="65"/>
      <c r="K24" s="250"/>
      <c r="L24" s="227"/>
      <c r="M24" s="227"/>
      <c r="N24" s="187"/>
      <c r="O24" s="55"/>
    </row>
  </sheetData>
  <mergeCells count="2">
    <mergeCell ref="G5:J5"/>
    <mergeCell ref="K5:N5"/>
  </mergeCells>
  <conditionalFormatting sqref="G8:G10519">
    <cfRule type="notContainsBlanks" dxfId="58" priority="3">
      <formula>LEN(TRIM(G8))&gt;0</formula>
    </cfRule>
  </conditionalFormatting>
  <conditionalFormatting sqref="H9:H21">
    <cfRule type="notContainsBlanks" dxfId="57" priority="4">
      <formula>LEN(TRIM(H9))&gt;0</formula>
    </cfRule>
  </conditionalFormatting>
  <conditionalFormatting sqref="H8:I8">
    <cfRule type="notContainsBlanks" dxfId="56" priority="17">
      <formula>LEN(TRIM(H8))&gt;0</formula>
    </cfRule>
  </conditionalFormatting>
  <conditionalFormatting sqref="H22:I10419">
    <cfRule type="notContainsBlanks" dxfId="55" priority="6">
      <formula>LEN(TRIM(H22))&gt;0</formula>
    </cfRule>
  </conditionalFormatting>
  <conditionalFormatting sqref="P23">
    <cfRule type="cellIs" dxfId="54" priority="13" operator="equal">
      <formula>0</formula>
    </cfRule>
    <cfRule type="cellIs" dxfId="53" priority="14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pageSetUpPr fitToPage="1"/>
  </sheetPr>
  <dimension ref="A1:P24"/>
  <sheetViews>
    <sheetView zoomScale="55" zoomScaleNormal="55" workbookViewId="0">
      <selection activeCell="N22" sqref="N22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4" x14ac:dyDescent="0.35">
      <c r="A2" s="15"/>
      <c r="B2" s="3" t="str">
        <f>+'Qual, Excl &amp; Assum'!B2</f>
        <v>PROJECT NAME: SQUAIRRELS LEAP GUILDFORD ROAD, CHERTSEY KT16 9RU</v>
      </c>
      <c r="F2" s="35"/>
      <c r="J2" s="16"/>
    </row>
    <row r="3" spans="1:14" x14ac:dyDescent="0.35">
      <c r="A3" s="15"/>
      <c r="B3" s="53" t="str">
        <f>+'Qual, Excl &amp; Assum'!B3</f>
        <v>DATE: 25TH NOVEMBER 2025</v>
      </c>
      <c r="F3" s="35"/>
      <c r="J3" s="16"/>
    </row>
    <row r="4" spans="1:14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4">
      <c r="A5" s="206"/>
      <c r="B5" s="207" t="s">
        <v>30</v>
      </c>
      <c r="C5" s="208"/>
      <c r="D5" s="209"/>
      <c r="E5" s="210"/>
      <c r="F5" s="216"/>
      <c r="G5" s="360" t="s">
        <v>121</v>
      </c>
      <c r="H5" s="360"/>
      <c r="I5" s="360"/>
      <c r="J5" s="360"/>
      <c r="K5" s="359" t="s">
        <v>122</v>
      </c>
      <c r="L5" s="360"/>
      <c r="M5" s="360"/>
      <c r="N5" s="361"/>
    </row>
    <row r="6" spans="1:14" s="21" customFormat="1" ht="18.5" x14ac:dyDescent="0.45">
      <c r="A6" s="49"/>
      <c r="B6" s="38"/>
      <c r="C6" s="144"/>
      <c r="D6" s="38"/>
      <c r="E6" s="64"/>
      <c r="F6" s="197"/>
      <c r="G6" s="64"/>
      <c r="H6" s="64"/>
      <c r="I6" s="64"/>
      <c r="J6" s="38"/>
      <c r="K6" s="214"/>
      <c r="L6" s="20"/>
      <c r="M6" s="20"/>
      <c r="N6" s="27"/>
    </row>
    <row r="7" spans="1:14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4" s="21" customFormat="1" ht="18.5" x14ac:dyDescent="0.45">
      <c r="A8" s="49"/>
      <c r="B8" s="158"/>
      <c r="C8" s="147"/>
      <c r="D8" s="61"/>
      <c r="E8" s="62"/>
      <c r="F8" s="198"/>
      <c r="G8" s="59"/>
      <c r="H8" s="48"/>
      <c r="I8" s="48"/>
      <c r="J8" s="61"/>
      <c r="K8" s="214"/>
      <c r="L8" s="20"/>
      <c r="M8" s="20"/>
      <c r="N8" s="199" t="str">
        <f t="shared" ref="N8" si="0">IF(D8=0," ",(J8*C8))</f>
        <v xml:space="preserve"> </v>
      </c>
    </row>
    <row r="9" spans="1:14" s="21" customFormat="1" ht="18.5" x14ac:dyDescent="0.45">
      <c r="A9" s="49"/>
      <c r="B9" s="166" t="s">
        <v>259</v>
      </c>
      <c r="C9" s="144"/>
      <c r="D9" s="60"/>
      <c r="E9" s="48"/>
      <c r="F9" s="199"/>
      <c r="G9" s="59"/>
      <c r="H9" s="48"/>
      <c r="I9" s="48"/>
      <c r="J9" s="48"/>
      <c r="K9" s="214"/>
      <c r="L9" s="20"/>
      <c r="M9" s="20"/>
      <c r="N9" s="199"/>
    </row>
    <row r="10" spans="1:14" s="21" customFormat="1" ht="18.5" x14ac:dyDescent="0.45">
      <c r="A10" s="49"/>
      <c r="B10" s="166"/>
      <c r="C10" s="144"/>
      <c r="D10" s="60"/>
      <c r="E10" s="48"/>
      <c r="F10" s="199"/>
      <c r="G10" s="48"/>
      <c r="H10" s="48"/>
      <c r="I10" s="48"/>
      <c r="J10" s="48"/>
      <c r="K10" s="214"/>
      <c r="L10" s="20"/>
      <c r="M10" s="20"/>
      <c r="N10" s="199"/>
    </row>
    <row r="11" spans="1:14" s="21" customFormat="1" ht="18.5" x14ac:dyDescent="0.45">
      <c r="A11" s="49">
        <v>1</v>
      </c>
      <c r="B11" s="151" t="s">
        <v>260</v>
      </c>
      <c r="C11" s="144">
        <v>112.69</v>
      </c>
      <c r="D11" s="51" t="s">
        <v>10</v>
      </c>
      <c r="E11" s="48">
        <f>G11+H11+J11+I11</f>
        <v>74.971374999999995</v>
      </c>
      <c r="F11" s="199">
        <f>E11*C11</f>
        <v>8448.52424875</v>
      </c>
      <c r="G11" s="48">
        <v>20.692500000000003</v>
      </c>
      <c r="H11" s="48">
        <v>44.5</v>
      </c>
      <c r="I11" s="48">
        <f>IF(D11=0," ",(G11)*(Details!$C$4+Details!$C$8))</f>
        <v>3.1038750000000008</v>
      </c>
      <c r="J11" s="199">
        <f>IF(D11=0," ",(H11)*(Details!$C$6+Details!$C$8))</f>
        <v>6.6750000000000007</v>
      </c>
      <c r="K11" s="59">
        <f>+G11*C11</f>
        <v>2331.8378250000001</v>
      </c>
      <c r="L11" s="48">
        <f>+H11*C11</f>
        <v>5014.7049999999999</v>
      </c>
      <c r="M11" s="48">
        <f>IF(D11=0," ",(I11*C11))</f>
        <v>349.77567375000007</v>
      </c>
      <c r="N11" s="199">
        <f>IF(D11=0," ",(J11*C11))</f>
        <v>752.20575000000008</v>
      </c>
    </row>
    <row r="12" spans="1:14" s="21" customFormat="1" ht="18.5" x14ac:dyDescent="0.45">
      <c r="A12" s="49"/>
      <c r="B12" s="151"/>
      <c r="C12" s="144"/>
      <c r="D12" s="51"/>
      <c r="E12" s="48"/>
      <c r="F12" s="199"/>
      <c r="G12" s="48"/>
      <c r="H12" s="48"/>
      <c r="I12" s="48"/>
      <c r="J12" s="199"/>
      <c r="K12" s="59"/>
      <c r="L12" s="48"/>
      <c r="M12" s="48"/>
      <c r="N12" s="199"/>
    </row>
    <row r="13" spans="1:14" s="21" customFormat="1" ht="18.5" x14ac:dyDescent="0.45">
      <c r="A13" s="75">
        <f>IF(F13&lt;&gt;"",(LARGE(A$7:A12,1)+1),"")</f>
        <v>2</v>
      </c>
      <c r="B13" s="151" t="s">
        <v>261</v>
      </c>
      <c r="C13" s="144">
        <v>277.3</v>
      </c>
      <c r="D13" s="51" t="s">
        <v>10</v>
      </c>
      <c r="E13" s="48">
        <f>G13+H13+J13+I13</f>
        <v>81.710375000000013</v>
      </c>
      <c r="F13" s="199">
        <f>E13*C13</f>
        <v>22658.286987500003</v>
      </c>
      <c r="G13" s="48">
        <v>22.552500000000002</v>
      </c>
      <c r="H13" s="48">
        <v>48.5</v>
      </c>
      <c r="I13" s="48">
        <f>IF(D13=0," ",(G13)*(Details!$C$4+Details!$C$8))</f>
        <v>3.3828750000000007</v>
      </c>
      <c r="J13" s="199">
        <f>IF(D13=0," ",(H13)*(Details!$C$6+Details!$C$8))</f>
        <v>7.2750000000000012</v>
      </c>
      <c r="K13" s="59">
        <f>+G13*C13</f>
        <v>6253.808250000001</v>
      </c>
      <c r="L13" s="48">
        <f>+H13*C13</f>
        <v>13449.050000000001</v>
      </c>
      <c r="M13" s="48">
        <f>IF(D13=0," ",(I13*C13))</f>
        <v>938.07123750000028</v>
      </c>
      <c r="N13" s="199">
        <f>IF(D13=0," ",(J13*C13))</f>
        <v>2017.3575000000005</v>
      </c>
    </row>
    <row r="14" spans="1:14" s="21" customFormat="1" ht="18.5" x14ac:dyDescent="0.45">
      <c r="A14" s="49" t="str">
        <f>IF(F14&lt;&gt;"",(LARGE(A$7:A13,1)+1),"")</f>
        <v/>
      </c>
      <c r="B14" s="158"/>
      <c r="C14" s="147"/>
      <c r="D14" s="61"/>
      <c r="E14" s="62"/>
      <c r="F14" s="198"/>
      <c r="G14" s="48"/>
      <c r="H14" s="48"/>
      <c r="I14" s="48"/>
      <c r="J14" s="61"/>
      <c r="K14" s="214"/>
      <c r="L14" s="20"/>
      <c r="M14" s="20"/>
      <c r="N14" s="199" t="str">
        <f t="shared" ref="N14" si="1">IF(D14=0," ",(J14*C14))</f>
        <v xml:space="preserve"> </v>
      </c>
    </row>
    <row r="15" spans="1:14" s="21" customFormat="1" ht="18.5" x14ac:dyDescent="0.45">
      <c r="A15" s="49" t="str">
        <f>IF(F15&lt;&gt;"",(LARGE(A$7:A14,1)+1),"")</f>
        <v/>
      </c>
      <c r="B15" s="166" t="s">
        <v>405</v>
      </c>
      <c r="C15" s="144"/>
      <c r="D15" s="60"/>
      <c r="E15" s="48"/>
      <c r="F15" s="199"/>
      <c r="G15" s="48"/>
      <c r="H15" s="48"/>
      <c r="I15" s="48"/>
      <c r="J15" s="48"/>
      <c r="K15" s="214"/>
      <c r="L15" s="20"/>
      <c r="M15" s="20"/>
      <c r="N15" s="199"/>
    </row>
    <row r="16" spans="1:14" s="21" customFormat="1" ht="18.5" x14ac:dyDescent="0.45">
      <c r="A16" s="49" t="str">
        <f>IF(F16&lt;&gt;"",(LARGE(A$7:A15,1)+1),"")</f>
        <v/>
      </c>
      <c r="B16" s="166"/>
      <c r="C16" s="144"/>
      <c r="D16" s="60"/>
      <c r="E16" s="48"/>
      <c r="F16" s="199"/>
      <c r="G16" s="48"/>
      <c r="H16" s="48"/>
      <c r="I16" s="48"/>
      <c r="J16" s="48"/>
      <c r="K16" s="214"/>
      <c r="L16" s="20"/>
      <c r="M16" s="20"/>
      <c r="N16" s="199"/>
    </row>
    <row r="17" spans="1:16" s="21" customFormat="1" ht="18.5" x14ac:dyDescent="0.45">
      <c r="A17" s="49">
        <f>IF(F17&lt;&gt;"",(LARGE(A$7:A16,1)+1),"")</f>
        <v>3</v>
      </c>
      <c r="B17" s="151" t="s">
        <v>406</v>
      </c>
      <c r="C17" s="144">
        <v>85.52</v>
      </c>
      <c r="D17" s="51" t="s">
        <v>13</v>
      </c>
      <c r="E17" s="48">
        <f>G17+H17+J17+I17</f>
        <v>39.591625000000001</v>
      </c>
      <c r="F17" s="199">
        <f>E17*C17</f>
        <v>3385.8757700000001</v>
      </c>
      <c r="G17" s="48">
        <v>10.9275</v>
      </c>
      <c r="H17" s="48">
        <v>23.5</v>
      </c>
      <c r="I17" s="48">
        <f>IF(D17=0," ",(G17)*(Details!$C$4+Details!$C$8))</f>
        <v>1.6391250000000002</v>
      </c>
      <c r="J17" s="199">
        <f>IF(D17=0," ",(H17)*(Details!$C$6+Details!$C$8))</f>
        <v>3.5250000000000004</v>
      </c>
      <c r="K17" s="59">
        <f>+G17*C17</f>
        <v>934.51979999999992</v>
      </c>
      <c r="L17" s="48">
        <f>+H17*C17</f>
        <v>2009.7199999999998</v>
      </c>
      <c r="M17" s="48">
        <f>IF(D17=0," ",(I17*C17))</f>
        <v>140.17797000000002</v>
      </c>
      <c r="N17" s="199">
        <f>IF(D17=0," ",(J17*C17))</f>
        <v>301.45800000000003</v>
      </c>
    </row>
    <row r="18" spans="1:16" s="21" customFormat="1" ht="18.5" x14ac:dyDescent="0.45">
      <c r="A18" s="49" t="str">
        <f>IF(F18&lt;&gt;"",(LARGE(A$7:A17,1)+1),"")</f>
        <v/>
      </c>
      <c r="B18" s="151"/>
      <c r="C18" s="144"/>
      <c r="D18" s="51"/>
      <c r="E18" s="48"/>
      <c r="F18" s="199"/>
      <c r="G18" s="48"/>
      <c r="H18" s="48"/>
      <c r="I18" s="48"/>
      <c r="J18" s="199"/>
      <c r="K18" s="59"/>
      <c r="L18" s="48"/>
      <c r="M18" s="48"/>
      <c r="N18" s="199"/>
    </row>
    <row r="19" spans="1:16" s="21" customFormat="1" ht="18.5" x14ac:dyDescent="0.45">
      <c r="A19" s="49">
        <f>IF(F19&lt;&gt;"",(LARGE(A$7:A18,1)+1),"")</f>
        <v>4</v>
      </c>
      <c r="B19" s="151" t="s">
        <v>407</v>
      </c>
      <c r="C19" s="144">
        <v>244.92</v>
      </c>
      <c r="D19" s="51" t="s">
        <v>13</v>
      </c>
      <c r="E19" s="48">
        <f>G19+H19+J19+I19</f>
        <v>36.222125000000005</v>
      </c>
      <c r="F19" s="199">
        <f>E19*C19</f>
        <v>8871.5228550000011</v>
      </c>
      <c r="G19" s="48">
        <v>9.9975000000000005</v>
      </c>
      <c r="H19" s="48">
        <v>21.5</v>
      </c>
      <c r="I19" s="48">
        <f>IF(D19=0," ",(G19)*(Details!$C$4+Details!$C$8))</f>
        <v>1.4996250000000002</v>
      </c>
      <c r="J19" s="199">
        <f>IF(D19=0," ",(H19)*(Details!$C$6+Details!$C$8))</f>
        <v>3.2250000000000005</v>
      </c>
      <c r="K19" s="59">
        <f>+G19*C19</f>
        <v>2448.5877</v>
      </c>
      <c r="L19" s="48">
        <f>+H19*C19</f>
        <v>5265.78</v>
      </c>
      <c r="M19" s="48">
        <f>IF(D19=0," ",(I19*C19))</f>
        <v>367.28815500000002</v>
      </c>
      <c r="N19" s="199">
        <f>IF(D19=0," ",(J19*C19))</f>
        <v>789.86700000000008</v>
      </c>
    </row>
    <row r="20" spans="1:16" s="21" customFormat="1" ht="18.5" x14ac:dyDescent="0.45">
      <c r="A20" s="75" t="str">
        <f>IF(F20&lt;&gt;"",(LARGE(A$7:A19,1)+1),"")</f>
        <v/>
      </c>
      <c r="B20" s="151"/>
      <c r="C20" s="167"/>
      <c r="D20" s="51"/>
      <c r="E20" s="48"/>
      <c r="F20" s="199"/>
      <c r="G20" s="59"/>
      <c r="H20" s="48"/>
      <c r="I20" s="48"/>
      <c r="J20" s="199" t="str">
        <f>IF(D20=0," ",(G20+H20)*(Details!$C$4+Details!$C$6))</f>
        <v xml:space="preserve"> </v>
      </c>
      <c r="K20" s="214"/>
      <c r="L20" s="20"/>
      <c r="M20" s="20"/>
      <c r="N20" s="199"/>
      <c r="P20" s="72" t="s">
        <v>125</v>
      </c>
    </row>
    <row r="21" spans="1:16" s="21" customFormat="1" ht="19" thickBot="1" x14ac:dyDescent="0.5">
      <c r="A21" s="75"/>
      <c r="B21" s="160"/>
      <c r="C21" s="144"/>
      <c r="D21" s="60"/>
      <c r="E21" s="62" t="s">
        <v>97</v>
      </c>
      <c r="F21" s="200">
        <f>SUM(F8:F20)</f>
        <v>43364.209861250005</v>
      </c>
      <c r="G21" s="59"/>
      <c r="H21" s="48"/>
      <c r="I21" s="48"/>
      <c r="J21" s="199" t="str">
        <f>IF(D21=0," ",(G21+H21)*(Details!$C$4+Details!$C$6))</f>
        <v xml:space="preserve"> </v>
      </c>
      <c r="K21" s="200">
        <f>SUM(K8:K20)</f>
        <v>11968.753575000001</v>
      </c>
      <c r="L21" s="200">
        <f>SUM(L8:L20)</f>
        <v>25739.255000000001</v>
      </c>
      <c r="M21" s="200">
        <f>SUM(M8:M20)</f>
        <v>1795.3130362500003</v>
      </c>
      <c r="N21" s="200">
        <f>SUM(N8:N20)</f>
        <v>3860.8882500000009</v>
      </c>
      <c r="O21" s="55"/>
      <c r="P21" s="72">
        <f>+F21-K21-L21-N21-M21</f>
        <v>0</v>
      </c>
    </row>
    <row r="22" spans="1:16" s="21" customFormat="1" ht="19.5" thickTop="1" thickBot="1" x14ac:dyDescent="0.5">
      <c r="A22" s="161" t="str">
        <f>IF(F22&lt;&gt;"",(LARGE(A$7:A21,1)+1),"")</f>
        <v/>
      </c>
      <c r="B22" s="162"/>
      <c r="C22" s="157"/>
      <c r="D22" s="63"/>
      <c r="E22" s="65"/>
      <c r="F22" s="67"/>
      <c r="G22" s="66"/>
      <c r="H22" s="65"/>
      <c r="I22" s="65"/>
      <c r="J22" s="67" t="str">
        <f>IF(D22=0," ",(G22+H22)*(Details!$C$4+Details!$C$6))</f>
        <v xml:space="preserve"> </v>
      </c>
      <c r="K22" s="227"/>
      <c r="L22" s="227"/>
      <c r="M22" s="227"/>
      <c r="N22" s="187"/>
      <c r="O22" s="55"/>
    </row>
    <row r="23" spans="1:16" x14ac:dyDescent="0.35">
      <c r="J23" s="16"/>
    </row>
    <row r="24" spans="1:16" x14ac:dyDescent="0.35">
      <c r="J24" s="16"/>
    </row>
  </sheetData>
  <mergeCells count="2">
    <mergeCell ref="G5:J5"/>
    <mergeCell ref="K5:N5"/>
  </mergeCells>
  <conditionalFormatting sqref="G8:G10517">
    <cfRule type="notContainsBlanks" dxfId="52" priority="3">
      <formula>LEN(TRIM(G8))&gt;0</formula>
    </cfRule>
  </conditionalFormatting>
  <conditionalFormatting sqref="H11:H13">
    <cfRule type="notContainsBlanks" dxfId="51" priority="1">
      <formula>LEN(TRIM(H11))&gt;0</formula>
    </cfRule>
  </conditionalFormatting>
  <conditionalFormatting sqref="H17:H19 H20:I10417">
    <cfRule type="notContainsBlanks" dxfId="50" priority="4">
      <formula>LEN(TRIM(H17))&gt;0</formula>
    </cfRule>
  </conditionalFormatting>
  <conditionalFormatting sqref="H8:I10">
    <cfRule type="notContainsBlanks" dxfId="49" priority="2">
      <formula>LEN(TRIM(H8))&gt;0</formula>
    </cfRule>
  </conditionalFormatting>
  <conditionalFormatting sqref="H14:I16">
    <cfRule type="notContainsBlanks" dxfId="48" priority="9">
      <formula>LEN(TRIM(H14))&gt;0</formula>
    </cfRule>
  </conditionalFormatting>
  <conditionalFormatting sqref="P21">
    <cfRule type="cellIs" dxfId="47" priority="5" operator="equal">
      <formula>0</formula>
    </cfRule>
    <cfRule type="cellIs" dxfId="46" priority="6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>
    <pageSetUpPr fitToPage="1"/>
  </sheetPr>
  <dimension ref="A1:P21"/>
  <sheetViews>
    <sheetView zoomScale="55" zoomScaleNormal="55" workbookViewId="0">
      <selection activeCell="N19" sqref="N19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0"/>
      <c r="D1" s="24"/>
      <c r="E1" s="33"/>
      <c r="F1" s="34"/>
      <c r="G1" s="33"/>
      <c r="H1" s="33"/>
      <c r="I1" s="33"/>
      <c r="J1" s="24"/>
    </row>
    <row r="2" spans="1:14" x14ac:dyDescent="0.35">
      <c r="A2" s="15"/>
      <c r="B2" s="3" t="str">
        <f>+'Qual, Excl &amp; Assum'!B2</f>
        <v>PROJECT NAME: SQUAIRRELS LEAP GUILDFORD ROAD, CHERTSEY KT16 9RU</v>
      </c>
      <c r="F2" s="35"/>
      <c r="J2" s="16"/>
    </row>
    <row r="3" spans="1:14" x14ac:dyDescent="0.35">
      <c r="A3" s="15"/>
      <c r="B3" s="53" t="str">
        <f>+'Qual, Excl &amp; Assum'!B3</f>
        <v>DATE: 25TH NOVEMBER 2025</v>
      </c>
      <c r="F3" s="35"/>
      <c r="J3" s="16"/>
    </row>
    <row r="4" spans="1:14" s="21" customFormat="1" ht="16" thickBot="1" x14ac:dyDescent="0.4">
      <c r="A4" s="15"/>
      <c r="B4" s="22"/>
      <c r="C4" s="28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4">
      <c r="A5" s="206"/>
      <c r="B5" s="207" t="s">
        <v>59</v>
      </c>
      <c r="C5" s="211"/>
      <c r="D5" s="209"/>
      <c r="E5" s="210"/>
      <c r="F5" s="216"/>
      <c r="G5" s="360" t="s">
        <v>121</v>
      </c>
      <c r="H5" s="360"/>
      <c r="I5" s="360"/>
      <c r="J5" s="360"/>
      <c r="K5" s="359" t="s">
        <v>122</v>
      </c>
      <c r="L5" s="360"/>
      <c r="M5" s="360"/>
      <c r="N5" s="361"/>
    </row>
    <row r="6" spans="1:14" s="21" customFormat="1" ht="18.5" x14ac:dyDescent="0.45">
      <c r="A6" s="49"/>
      <c r="B6" s="38"/>
      <c r="C6" s="52"/>
      <c r="D6" s="38"/>
      <c r="E6" s="64"/>
      <c r="F6" s="197"/>
      <c r="G6" s="64"/>
      <c r="H6" s="64"/>
      <c r="I6" s="64"/>
      <c r="J6" s="38"/>
      <c r="K6" s="214"/>
      <c r="L6" s="20"/>
      <c r="M6" s="20"/>
      <c r="N6" s="27"/>
    </row>
    <row r="7" spans="1:14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4" s="21" customFormat="1" ht="18.5" x14ac:dyDescent="0.45">
      <c r="A8" s="49"/>
      <c r="B8" s="158"/>
      <c r="C8" s="147"/>
      <c r="D8" s="61"/>
      <c r="E8" s="62"/>
      <c r="F8" s="198"/>
      <c r="G8" s="59"/>
      <c r="H8" s="48"/>
      <c r="I8" s="48"/>
      <c r="J8" s="61"/>
      <c r="K8" s="214"/>
      <c r="L8" s="20"/>
      <c r="M8" s="20"/>
      <c r="N8" s="199" t="str">
        <f t="shared" ref="N8" si="0">IF(D8=0," ",(J8*C8))</f>
        <v xml:space="preserve"> </v>
      </c>
    </row>
    <row r="9" spans="1:14" s="21" customFormat="1" ht="18.5" x14ac:dyDescent="0.45">
      <c r="A9" s="49"/>
      <c r="B9" s="166" t="s">
        <v>246</v>
      </c>
      <c r="C9" s="144"/>
      <c r="D9" s="60"/>
      <c r="E9" s="48"/>
      <c r="F9" s="199"/>
      <c r="G9" s="59"/>
      <c r="H9" s="48"/>
      <c r="I9" s="48"/>
      <c r="J9" s="48"/>
      <c r="K9" s="214"/>
      <c r="L9" s="20"/>
      <c r="M9" s="20"/>
      <c r="N9" s="199"/>
    </row>
    <row r="10" spans="1:14" s="21" customFormat="1" ht="18.5" x14ac:dyDescent="0.45">
      <c r="A10" s="49"/>
      <c r="B10" s="166"/>
      <c r="C10" s="144"/>
      <c r="D10" s="60"/>
      <c r="E10" s="48"/>
      <c r="F10" s="199"/>
      <c r="G10" s="59"/>
      <c r="H10" s="48"/>
      <c r="I10" s="48"/>
      <c r="J10" s="48"/>
      <c r="K10" s="214"/>
      <c r="L10" s="20"/>
      <c r="M10" s="20"/>
      <c r="N10" s="199"/>
    </row>
    <row r="11" spans="1:14" s="21" customFormat="1" ht="37" x14ac:dyDescent="0.45">
      <c r="A11" s="49">
        <v>1</v>
      </c>
      <c r="B11" s="151" t="s">
        <v>245</v>
      </c>
      <c r="C11" s="144">
        <v>235.26</v>
      </c>
      <c r="D11" s="51" t="s">
        <v>10</v>
      </c>
      <c r="E11" s="48">
        <f>G11+H11+J11+I11</f>
        <v>48.015374999999999</v>
      </c>
      <c r="F11" s="199">
        <f>E11*C11</f>
        <v>11296.097122499999</v>
      </c>
      <c r="G11" s="48">
        <v>13.252500000000001</v>
      </c>
      <c r="H11" s="48">
        <v>28.5</v>
      </c>
      <c r="I11" s="48">
        <f>IF(D11=0," ",(G11)*(Details!$C$4+Details!$C$8))</f>
        <v>1.9878750000000005</v>
      </c>
      <c r="J11" s="199">
        <f>IF(D11=0," ",(H11)*(Details!$C$6+Details!$C$8))</f>
        <v>4.2750000000000004</v>
      </c>
      <c r="K11" s="59">
        <f>+G11*C11</f>
        <v>3117.7831500000002</v>
      </c>
      <c r="L11" s="48">
        <f>+H11*C11</f>
        <v>6704.91</v>
      </c>
      <c r="M11" s="48">
        <f>IF(D11=0," ",(I11*C11))</f>
        <v>467.66747250000009</v>
      </c>
      <c r="N11" s="199">
        <f>IF(D11=0," ",(J11*C11))</f>
        <v>1005.7365000000001</v>
      </c>
    </row>
    <row r="12" spans="1:14" s="21" customFormat="1" ht="18.5" x14ac:dyDescent="0.45">
      <c r="A12" s="75"/>
      <c r="B12" s="151"/>
      <c r="C12" s="144"/>
      <c r="D12" s="51"/>
      <c r="E12" s="48"/>
      <c r="F12" s="199"/>
      <c r="G12" s="48"/>
      <c r="H12" s="48"/>
      <c r="I12" s="48"/>
      <c r="J12" s="199"/>
      <c r="K12" s="214"/>
      <c r="L12" s="20"/>
      <c r="M12" s="20"/>
      <c r="N12" s="199"/>
    </row>
    <row r="13" spans="1:14" s="21" customFormat="1" ht="18.5" x14ac:dyDescent="0.45">
      <c r="A13" s="75" t="str">
        <f>IF(F13&lt;&gt;"",(LARGE(A$7:A12,1)+1),"")</f>
        <v/>
      </c>
      <c r="B13" s="151"/>
      <c r="C13" s="144"/>
      <c r="D13" s="51"/>
      <c r="E13" s="48"/>
      <c r="F13" s="199"/>
      <c r="G13" s="48"/>
      <c r="H13" s="48"/>
      <c r="I13" s="48"/>
      <c r="J13" s="199"/>
      <c r="K13" s="214"/>
      <c r="L13" s="20"/>
      <c r="M13" s="20"/>
      <c r="N13" s="199"/>
    </row>
    <row r="14" spans="1:14" s="21" customFormat="1" ht="18.5" x14ac:dyDescent="0.45">
      <c r="A14" s="75" t="str">
        <f>IF(F14&lt;&gt;"",(LARGE(A$7:A13,1)+1),"")</f>
        <v/>
      </c>
      <c r="B14" s="166" t="s">
        <v>252</v>
      </c>
      <c r="C14" s="144"/>
      <c r="D14" s="60"/>
      <c r="E14" s="48"/>
      <c r="F14" s="199"/>
      <c r="G14" s="48"/>
      <c r="H14" s="48"/>
      <c r="I14" s="48"/>
      <c r="J14" s="199"/>
      <c r="K14" s="214"/>
      <c r="L14" s="20"/>
      <c r="M14" s="20"/>
      <c r="N14" s="199"/>
    </row>
    <row r="15" spans="1:14" s="21" customFormat="1" ht="18.5" x14ac:dyDescent="0.45">
      <c r="A15" s="75" t="str">
        <f>IF(F15&lt;&gt;"",(LARGE(A$7:A14,1)+1),"")</f>
        <v/>
      </c>
      <c r="B15" s="166"/>
      <c r="C15" s="144"/>
      <c r="D15" s="60"/>
      <c r="E15" s="48"/>
      <c r="F15" s="199"/>
      <c r="G15" s="48"/>
      <c r="H15" s="48"/>
      <c r="I15" s="48"/>
      <c r="J15" s="199"/>
      <c r="K15" s="214"/>
      <c r="L15" s="20"/>
      <c r="M15" s="20"/>
      <c r="N15" s="199"/>
    </row>
    <row r="16" spans="1:14" s="21" customFormat="1" ht="18.5" x14ac:dyDescent="0.45">
      <c r="A16" s="75">
        <f>IF(F16&lt;&gt;"",(LARGE(A$7:A15,1)+1),"")</f>
        <v>2</v>
      </c>
      <c r="B16" s="151" t="s">
        <v>253</v>
      </c>
      <c r="C16" s="144">
        <f>77.862/2.8*1.2</f>
        <v>33.369428571428571</v>
      </c>
      <c r="D16" s="51" t="s">
        <v>10</v>
      </c>
      <c r="E16" s="48">
        <f>G16+H16+J16+I16</f>
        <v>78.340874999999997</v>
      </c>
      <c r="F16" s="199">
        <f>E16*C16</f>
        <v>2614.1902325357141</v>
      </c>
      <c r="G16" s="48">
        <v>21.622500000000002</v>
      </c>
      <c r="H16" s="48">
        <v>46.5</v>
      </c>
      <c r="I16" s="48">
        <f>IF(D16=0," ",(G16)*(Details!$C$4+Details!$C$8))</f>
        <v>3.2433750000000008</v>
      </c>
      <c r="J16" s="199">
        <f>IF(D16=0," ",(H16)*(Details!$C$6+Details!$C$8))</f>
        <v>6.9750000000000014</v>
      </c>
      <c r="K16" s="59">
        <f>+G16*C16</f>
        <v>721.53046928571439</v>
      </c>
      <c r="L16" s="48">
        <f>+H16*C16</f>
        <v>1551.6784285714286</v>
      </c>
      <c r="M16" s="48">
        <f>IF(D16=0," ",(I16*C16))</f>
        <v>108.22957039285717</v>
      </c>
      <c r="N16" s="199">
        <f>IF(D16=0," ",(J16*C16))</f>
        <v>232.75176428571433</v>
      </c>
    </row>
    <row r="17" spans="1:16" s="21" customFormat="1" ht="18.5" x14ac:dyDescent="0.45">
      <c r="A17" s="75" t="str">
        <f>IF(F17&lt;&gt;"",(LARGE(A$7:A16,1)+1),"")</f>
        <v/>
      </c>
      <c r="B17" s="151"/>
      <c r="C17" s="52"/>
      <c r="D17" s="51"/>
      <c r="E17" s="48"/>
      <c r="F17" s="199"/>
      <c r="G17" s="59"/>
      <c r="H17" s="48"/>
      <c r="I17" s="48"/>
      <c r="J17" s="199"/>
      <c r="K17" s="214"/>
      <c r="L17" s="20"/>
      <c r="M17" s="20"/>
      <c r="N17" s="199"/>
      <c r="P17" s="72" t="s">
        <v>125</v>
      </c>
    </row>
    <row r="18" spans="1:16" s="21" customFormat="1" ht="19" thickBot="1" x14ac:dyDescent="0.5">
      <c r="A18" s="75"/>
      <c r="B18" s="160"/>
      <c r="C18" s="52"/>
      <c r="D18" s="60"/>
      <c r="E18" s="62" t="s">
        <v>97</v>
      </c>
      <c r="F18" s="200">
        <f>SUM(F8:F17)</f>
        <v>13910.287355035714</v>
      </c>
      <c r="G18" s="59"/>
      <c r="H18" s="48"/>
      <c r="I18" s="48"/>
      <c r="J18" s="199" t="str">
        <f>IF(D18=0," ",(G18+H18)*(Details!$C$4+Details!$C$6))</f>
        <v xml:space="preserve"> </v>
      </c>
      <c r="K18" s="200">
        <f>SUM(K8:K17)</f>
        <v>3839.3136192857146</v>
      </c>
      <c r="L18" s="200">
        <f>SUM(L8:L17)</f>
        <v>8256.5884285714292</v>
      </c>
      <c r="M18" s="200">
        <f>SUM(M8:M17)</f>
        <v>575.89704289285726</v>
      </c>
      <c r="N18" s="200">
        <f>SUM(N8:N17)</f>
        <v>1238.4882642857144</v>
      </c>
      <c r="O18" s="55"/>
      <c r="P18" s="72">
        <f>+F18-K18-L18-N18-M18</f>
        <v>-1.0231815394945443E-12</v>
      </c>
    </row>
    <row r="19" spans="1:16" s="21" customFormat="1" ht="19.5" thickTop="1" thickBot="1" x14ac:dyDescent="0.5">
      <c r="A19" s="161" t="str">
        <f>IF(F19&lt;&gt;"",(LARGE(A$7:A18,1)+1),"")</f>
        <v/>
      </c>
      <c r="B19" s="162"/>
      <c r="C19" s="163"/>
      <c r="D19" s="63"/>
      <c r="E19" s="65"/>
      <c r="F19" s="67"/>
      <c r="G19" s="66"/>
      <c r="H19" s="65"/>
      <c r="I19" s="65"/>
      <c r="J19" s="67" t="str">
        <f>IF(D19=0," ",(G19+H19)*(Details!$C$4+Details!$C$6))</f>
        <v xml:space="preserve"> </v>
      </c>
      <c r="K19" s="227"/>
      <c r="L19" s="227"/>
      <c r="M19" s="227"/>
      <c r="N19" s="187"/>
      <c r="O19" s="55"/>
    </row>
    <row r="20" spans="1:16" x14ac:dyDescent="0.35">
      <c r="J20" s="16"/>
    </row>
    <row r="21" spans="1:16" x14ac:dyDescent="0.35">
      <c r="J21" s="16"/>
    </row>
  </sheetData>
  <mergeCells count="2">
    <mergeCell ref="G5:J5"/>
    <mergeCell ref="K5:N5"/>
  </mergeCells>
  <conditionalFormatting sqref="G8:G10514">
    <cfRule type="notContainsBlanks" dxfId="45" priority="1">
      <formula>LEN(TRIM(G8))&gt;0</formula>
    </cfRule>
  </conditionalFormatting>
  <conditionalFormatting sqref="H11 H12:I15 H17:I10514">
    <cfRule type="notContainsBlanks" dxfId="44" priority="6">
      <formula>LEN(TRIM(H11))&gt;0</formula>
    </cfRule>
  </conditionalFormatting>
  <conditionalFormatting sqref="H16">
    <cfRule type="notContainsBlanks" dxfId="43" priority="4">
      <formula>LEN(TRIM(H16))&gt;0</formula>
    </cfRule>
  </conditionalFormatting>
  <conditionalFormatting sqref="H8:I10">
    <cfRule type="notContainsBlanks" dxfId="42" priority="11">
      <formula>LEN(TRIM(H8))&gt;0</formula>
    </cfRule>
  </conditionalFormatting>
  <conditionalFormatting sqref="P18">
    <cfRule type="cellIs" dxfId="41" priority="7" operator="equal">
      <formula>0</formula>
    </cfRule>
    <cfRule type="cellIs" dxfId="40" priority="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>
    <pageSetUpPr fitToPage="1"/>
  </sheetPr>
  <dimension ref="A1:P57"/>
  <sheetViews>
    <sheetView topLeftCell="A4" zoomScale="55" zoomScaleNormal="55" workbookViewId="0">
      <selection activeCell="N55" sqref="N55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0"/>
      <c r="D1" s="24"/>
      <c r="E1" s="33"/>
      <c r="F1" s="34"/>
      <c r="G1" s="82"/>
      <c r="H1" s="33"/>
      <c r="I1" s="33"/>
      <c r="J1" s="24"/>
    </row>
    <row r="2" spans="1:14" x14ac:dyDescent="0.35">
      <c r="A2" s="15"/>
      <c r="B2" s="3" t="str">
        <f>+'Qual, Excl &amp; Assum'!B2</f>
        <v>PROJECT NAME: SQUAIRRELS LEAP GUILDFORD ROAD, CHERTSEY KT16 9RU</v>
      </c>
      <c r="F2" s="35"/>
      <c r="G2" s="72"/>
      <c r="J2" s="16"/>
    </row>
    <row r="3" spans="1:14" x14ac:dyDescent="0.35">
      <c r="A3" s="15"/>
      <c r="B3" s="53" t="str">
        <f>+'Qual, Excl &amp; Assum'!B3</f>
        <v>DATE: 25TH NOVEMBER 2025</v>
      </c>
      <c r="F3" s="35"/>
      <c r="G3" s="72"/>
      <c r="J3" s="16"/>
    </row>
    <row r="4" spans="1:14" s="21" customFormat="1" ht="16" thickBot="1" x14ac:dyDescent="0.4">
      <c r="A4" s="15"/>
      <c r="B4" s="22"/>
      <c r="C4" s="28"/>
      <c r="E4" s="36"/>
      <c r="F4" s="37"/>
      <c r="G4" s="83"/>
      <c r="H4" s="36"/>
      <c r="I4" s="36"/>
      <c r="K4" s="20"/>
      <c r="L4" s="20"/>
      <c r="M4" s="20"/>
    </row>
    <row r="5" spans="1:14" s="21" customFormat="1" ht="38.25" customHeight="1" thickBot="1" x14ac:dyDescent="0.4">
      <c r="A5" s="206"/>
      <c r="B5" s="207" t="s">
        <v>19</v>
      </c>
      <c r="C5" s="211"/>
      <c r="D5" s="209"/>
      <c r="E5" s="210"/>
      <c r="F5" s="216"/>
      <c r="G5" s="360" t="s">
        <v>121</v>
      </c>
      <c r="H5" s="360"/>
      <c r="I5" s="360"/>
      <c r="J5" s="361"/>
      <c r="K5" s="359" t="s">
        <v>122</v>
      </c>
      <c r="L5" s="360"/>
      <c r="M5" s="360"/>
      <c r="N5" s="361"/>
    </row>
    <row r="6" spans="1:14" s="21" customFormat="1" ht="18.5" x14ac:dyDescent="0.45">
      <c r="A6" s="49"/>
      <c r="B6" s="38"/>
      <c r="C6" s="52"/>
      <c r="D6" s="38"/>
      <c r="E6" s="64"/>
      <c r="F6" s="197"/>
      <c r="G6" s="253"/>
      <c r="H6" s="64"/>
      <c r="I6" s="64"/>
      <c r="J6" s="202"/>
      <c r="K6" s="214"/>
      <c r="L6" s="20"/>
      <c r="M6" s="20"/>
      <c r="N6" s="27"/>
    </row>
    <row r="7" spans="1:14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4" s="21" customFormat="1" ht="18.5" x14ac:dyDescent="0.45">
      <c r="A8" s="49"/>
      <c r="B8" s="158"/>
      <c r="C8" s="147"/>
      <c r="D8" s="61"/>
      <c r="E8" s="62"/>
      <c r="F8" s="198"/>
      <c r="G8" s="59"/>
      <c r="H8" s="48"/>
      <c r="I8" s="48"/>
      <c r="J8" s="203"/>
      <c r="K8" s="84"/>
      <c r="L8" s="20"/>
      <c r="M8" s="20"/>
      <c r="N8" s="199" t="str">
        <f t="shared" ref="N8" si="0">IF(D8=0," ",(J8*C8))</f>
        <v xml:space="preserve"> </v>
      </c>
    </row>
    <row r="9" spans="1:14" s="21" customFormat="1" ht="18.5" x14ac:dyDescent="0.45">
      <c r="A9" s="49"/>
      <c r="B9" s="166" t="s">
        <v>42</v>
      </c>
      <c r="C9" s="144"/>
      <c r="D9" s="60"/>
      <c r="E9" s="48"/>
      <c r="F9" s="199"/>
      <c r="G9" s="59"/>
      <c r="H9" s="48"/>
      <c r="I9" s="48"/>
      <c r="J9" s="199"/>
      <c r="K9" s="233"/>
      <c r="L9" s="20"/>
      <c r="M9" s="20"/>
      <c r="N9" s="199"/>
    </row>
    <row r="10" spans="1:14" s="21" customFormat="1" ht="18.5" x14ac:dyDescent="0.45">
      <c r="A10" s="49"/>
      <c r="B10" s="166"/>
      <c r="C10" s="144"/>
      <c r="D10" s="60"/>
      <c r="E10" s="48"/>
      <c r="F10" s="199"/>
      <c r="G10" s="48"/>
      <c r="H10" s="48"/>
      <c r="I10" s="48"/>
      <c r="J10" s="199"/>
      <c r="K10" s="233"/>
      <c r="L10" s="20"/>
      <c r="M10" s="20"/>
      <c r="N10" s="199"/>
    </row>
    <row r="11" spans="1:14" s="21" customFormat="1" ht="18" customHeight="1" x14ac:dyDescent="0.45">
      <c r="A11" s="49">
        <v>1</v>
      </c>
      <c r="B11" s="151" t="s">
        <v>280</v>
      </c>
      <c r="C11" s="144">
        <v>1</v>
      </c>
      <c r="D11" s="51" t="s">
        <v>12</v>
      </c>
      <c r="E11" s="48">
        <f t="shared" ref="E11:E25" si="1">G11+H11+J11+I11</f>
        <v>1086.6637499999999</v>
      </c>
      <c r="F11" s="199">
        <f t="shared" ref="F11:F25" si="2">E11*C11</f>
        <v>1086.6637499999999</v>
      </c>
      <c r="G11" s="48">
        <v>299.92500000000001</v>
      </c>
      <c r="H11" s="48">
        <v>645</v>
      </c>
      <c r="I11" s="48">
        <f>IF(D11=0," ",(G11)*([1]Details!$C$4+[1]Details!$C$8))</f>
        <v>44.98875000000001</v>
      </c>
      <c r="J11" s="199">
        <f>IF(D11=0," ",(H11)*([1]Details!$C$6+[1]Details!$C$8))</f>
        <v>96.750000000000014</v>
      </c>
      <c r="K11" s="59">
        <f t="shared" ref="K11:K25" si="3">+G11*C11</f>
        <v>299.92500000000001</v>
      </c>
      <c r="L11" s="48">
        <f t="shared" ref="L11:L25" si="4">+H11*C11</f>
        <v>645</v>
      </c>
      <c r="M11" s="48">
        <f t="shared" ref="M11:M25" si="5">IF(D11=0," ",(I11*C11))</f>
        <v>44.98875000000001</v>
      </c>
      <c r="N11" s="199">
        <f t="shared" ref="N11:N25" si="6">IF(D11=0," ",(J11*C11))</f>
        <v>96.750000000000014</v>
      </c>
    </row>
    <row r="12" spans="1:14" s="21" customFormat="1" ht="18" customHeight="1" x14ac:dyDescent="0.45">
      <c r="A12" s="49"/>
      <c r="B12" s="151"/>
      <c r="C12" s="144"/>
      <c r="D12" s="51"/>
      <c r="E12" s="48"/>
      <c r="F12" s="199"/>
      <c r="G12" s="48"/>
      <c r="H12" s="48"/>
      <c r="I12" s="48"/>
      <c r="J12" s="199"/>
      <c r="K12" s="59"/>
      <c r="L12" s="48"/>
      <c r="M12" s="48"/>
      <c r="N12" s="199"/>
    </row>
    <row r="13" spans="1:14" s="21" customFormat="1" ht="18" customHeight="1" x14ac:dyDescent="0.45">
      <c r="A13" s="75">
        <f>IF(F13&lt;&gt;"",(LARGE(A$7:A11,1)+1),"")</f>
        <v>2</v>
      </c>
      <c r="B13" s="151" t="s">
        <v>281</v>
      </c>
      <c r="C13" s="144">
        <v>2</v>
      </c>
      <c r="D13" s="51" t="s">
        <v>12</v>
      </c>
      <c r="E13" s="48">
        <f t="shared" si="1"/>
        <v>918.18874999999991</v>
      </c>
      <c r="F13" s="199">
        <f t="shared" si="2"/>
        <v>1836.3774999999998</v>
      </c>
      <c r="G13" s="48">
        <v>253.42500000000001</v>
      </c>
      <c r="H13" s="48">
        <v>545</v>
      </c>
      <c r="I13" s="48">
        <f>IF(D13=0," ",(G13)*([1]Details!$C$4+[1]Details!$C$8))</f>
        <v>38.013750000000009</v>
      </c>
      <c r="J13" s="199">
        <f>IF(D13=0," ",(H13)*([1]Details!$C$6+[1]Details!$C$8))</f>
        <v>81.750000000000014</v>
      </c>
      <c r="K13" s="59">
        <f t="shared" si="3"/>
        <v>506.85</v>
      </c>
      <c r="L13" s="48">
        <f t="shared" si="4"/>
        <v>1090</v>
      </c>
      <c r="M13" s="48">
        <f t="shared" si="5"/>
        <v>76.027500000000018</v>
      </c>
      <c r="N13" s="199">
        <f t="shared" si="6"/>
        <v>163.50000000000003</v>
      </c>
    </row>
    <row r="14" spans="1:14" s="21" customFormat="1" ht="18" customHeight="1" x14ac:dyDescent="0.45">
      <c r="A14" s="75" t="str">
        <f>IF(F14&lt;&gt;"",(LARGE(A$7:A12,1)+1),"")</f>
        <v/>
      </c>
      <c r="B14" s="151"/>
      <c r="C14" s="144"/>
      <c r="D14" s="51"/>
      <c r="E14" s="48"/>
      <c r="F14" s="199"/>
      <c r="G14" s="48"/>
      <c r="H14" s="48"/>
      <c r="I14" s="48"/>
      <c r="J14" s="199"/>
      <c r="K14" s="59"/>
      <c r="L14" s="48"/>
      <c r="M14" s="48"/>
      <c r="N14" s="199"/>
    </row>
    <row r="15" spans="1:14" s="21" customFormat="1" ht="18" customHeight="1" x14ac:dyDescent="0.45">
      <c r="A15" s="75">
        <f>IF(F15&lt;&gt;"",(LARGE(A$7:A13,1)+1),"")</f>
        <v>3</v>
      </c>
      <c r="B15" s="151" t="s">
        <v>282</v>
      </c>
      <c r="C15" s="144">
        <v>2</v>
      </c>
      <c r="D15" s="51" t="s">
        <v>12</v>
      </c>
      <c r="E15" s="48">
        <f t="shared" si="1"/>
        <v>1221.4437499999999</v>
      </c>
      <c r="F15" s="199">
        <f t="shared" si="2"/>
        <v>2442.8874999999998</v>
      </c>
      <c r="G15" s="48">
        <v>337.125</v>
      </c>
      <c r="H15" s="48">
        <v>725</v>
      </c>
      <c r="I15" s="48">
        <f>IF(D15=0," ",(G15)*([1]Details!$C$4+[1]Details!$C$8))</f>
        <v>50.568750000000009</v>
      </c>
      <c r="J15" s="199">
        <f>IF(D15=0," ",(H15)*([1]Details!$C$6+[1]Details!$C$8))</f>
        <v>108.75000000000001</v>
      </c>
      <c r="K15" s="59">
        <f t="shared" si="3"/>
        <v>674.25</v>
      </c>
      <c r="L15" s="48">
        <f t="shared" si="4"/>
        <v>1450</v>
      </c>
      <c r="M15" s="48">
        <f t="shared" si="5"/>
        <v>101.13750000000002</v>
      </c>
      <c r="N15" s="199">
        <f t="shared" si="6"/>
        <v>217.50000000000003</v>
      </c>
    </row>
    <row r="16" spans="1:14" s="21" customFormat="1" ht="18" customHeight="1" x14ac:dyDescent="0.45">
      <c r="A16" s="75" t="str">
        <f>IF(F16&lt;&gt;"",(LARGE(A$7:A14,1)+1),"")</f>
        <v/>
      </c>
      <c r="B16" s="151"/>
      <c r="C16" s="144"/>
      <c r="D16" s="51"/>
      <c r="E16" s="48"/>
      <c r="F16" s="199"/>
      <c r="G16" s="48"/>
      <c r="H16" s="48"/>
      <c r="I16" s="48"/>
      <c r="J16" s="199"/>
      <c r="K16" s="59"/>
      <c r="L16" s="48"/>
      <c r="M16" s="48"/>
      <c r="N16" s="199"/>
    </row>
    <row r="17" spans="1:14" s="21" customFormat="1" ht="18" customHeight="1" x14ac:dyDescent="0.45">
      <c r="A17" s="75">
        <f>IF(F17&lt;&gt;"",(LARGE(A$7:A15,1)+1),"")</f>
        <v>4</v>
      </c>
      <c r="B17" s="151" t="s">
        <v>283</v>
      </c>
      <c r="C17" s="144">
        <v>2</v>
      </c>
      <c r="D17" s="51" t="s">
        <v>12</v>
      </c>
      <c r="E17" s="48">
        <f t="shared" si="1"/>
        <v>1288.83375</v>
      </c>
      <c r="F17" s="199">
        <f t="shared" si="2"/>
        <v>2577.6675</v>
      </c>
      <c r="G17" s="48">
        <v>355.72500000000002</v>
      </c>
      <c r="H17" s="48">
        <v>765</v>
      </c>
      <c r="I17" s="48">
        <f>IF(D17=0," ",(G17)*([1]Details!$C$4+[1]Details!$C$8))</f>
        <v>53.358750000000015</v>
      </c>
      <c r="J17" s="199">
        <f>IF(D17=0," ",(H17)*([1]Details!$C$6+[1]Details!$C$8))</f>
        <v>114.75000000000001</v>
      </c>
      <c r="K17" s="59">
        <f t="shared" si="3"/>
        <v>711.45</v>
      </c>
      <c r="L17" s="48">
        <f t="shared" si="4"/>
        <v>1530</v>
      </c>
      <c r="M17" s="48">
        <f t="shared" si="5"/>
        <v>106.71750000000003</v>
      </c>
      <c r="N17" s="199">
        <f t="shared" si="6"/>
        <v>229.50000000000003</v>
      </c>
    </row>
    <row r="18" spans="1:14" s="21" customFormat="1" ht="18" customHeight="1" x14ac:dyDescent="0.45">
      <c r="A18" s="75" t="str">
        <f>IF(F18&lt;&gt;"",(LARGE(A$7:A16,1)+1),"")</f>
        <v/>
      </c>
      <c r="B18" s="151"/>
      <c r="C18" s="144"/>
      <c r="D18" s="51"/>
      <c r="E18" s="48"/>
      <c r="F18" s="199"/>
      <c r="G18" s="48"/>
      <c r="H18" s="48"/>
      <c r="I18" s="48"/>
      <c r="J18" s="199"/>
      <c r="K18" s="59"/>
      <c r="L18" s="48"/>
      <c r="M18" s="48"/>
      <c r="N18" s="199"/>
    </row>
    <row r="19" spans="1:14" s="21" customFormat="1" ht="18" customHeight="1" x14ac:dyDescent="0.45">
      <c r="A19" s="75">
        <f>IF(F19&lt;&gt;"",(LARGE(A$7:A17,1)+1),"")</f>
        <v>5</v>
      </c>
      <c r="B19" s="151" t="s">
        <v>284</v>
      </c>
      <c r="C19" s="144">
        <v>2</v>
      </c>
      <c r="D19" s="51" t="s">
        <v>12</v>
      </c>
      <c r="E19" s="48">
        <f t="shared" si="1"/>
        <v>1086.6637499999999</v>
      </c>
      <c r="F19" s="199">
        <f t="shared" si="2"/>
        <v>2173.3274999999999</v>
      </c>
      <c r="G19" s="48">
        <v>299.92500000000001</v>
      </c>
      <c r="H19" s="48">
        <v>645</v>
      </c>
      <c r="I19" s="48">
        <f>IF(D19=0," ",(G19)*([1]Details!$C$4+[1]Details!$C$8))</f>
        <v>44.98875000000001</v>
      </c>
      <c r="J19" s="199">
        <f>IF(D19=0," ",(H19)*([1]Details!$C$6+[1]Details!$C$8))</f>
        <v>96.750000000000014</v>
      </c>
      <c r="K19" s="59">
        <f t="shared" si="3"/>
        <v>599.85</v>
      </c>
      <c r="L19" s="48">
        <f t="shared" si="4"/>
        <v>1290</v>
      </c>
      <c r="M19" s="48">
        <f t="shared" si="5"/>
        <v>89.97750000000002</v>
      </c>
      <c r="N19" s="199">
        <f t="shared" si="6"/>
        <v>193.50000000000003</v>
      </c>
    </row>
    <row r="20" spans="1:14" s="21" customFormat="1" ht="18" customHeight="1" x14ac:dyDescent="0.45">
      <c r="A20" s="75" t="str">
        <f>IF(F20&lt;&gt;"",(LARGE(A$7:A18,1)+1),"")</f>
        <v/>
      </c>
      <c r="B20" s="151"/>
      <c r="C20" s="144"/>
      <c r="D20" s="51"/>
      <c r="E20" s="48"/>
      <c r="F20" s="199"/>
      <c r="G20" s="48"/>
      <c r="H20" s="48"/>
      <c r="I20" s="48"/>
      <c r="J20" s="199"/>
      <c r="K20" s="59"/>
      <c r="L20" s="48"/>
      <c r="M20" s="48"/>
      <c r="N20" s="199"/>
    </row>
    <row r="21" spans="1:14" s="21" customFormat="1" ht="18" customHeight="1" x14ac:dyDescent="0.45">
      <c r="A21" s="75">
        <f>IF(F21&lt;&gt;"",(LARGE(A$7:A19,1)+1),"")</f>
        <v>6</v>
      </c>
      <c r="B21" s="151" t="s">
        <v>285</v>
      </c>
      <c r="C21" s="144">
        <v>2</v>
      </c>
      <c r="D21" s="51" t="s">
        <v>12</v>
      </c>
      <c r="E21" s="48">
        <f t="shared" si="1"/>
        <v>2105.9375</v>
      </c>
      <c r="F21" s="199">
        <f t="shared" si="2"/>
        <v>4211.875</v>
      </c>
      <c r="G21" s="48">
        <v>581.25</v>
      </c>
      <c r="H21" s="48">
        <v>1250</v>
      </c>
      <c r="I21" s="48">
        <f>IF(D21=0," ",(G21)*([1]Details!$C$4+[1]Details!$C$8))</f>
        <v>87.187500000000014</v>
      </c>
      <c r="J21" s="199">
        <f>IF(D21=0," ",(H21)*([1]Details!$C$6+[1]Details!$C$8))</f>
        <v>187.50000000000003</v>
      </c>
      <c r="K21" s="59">
        <f t="shared" si="3"/>
        <v>1162.5</v>
      </c>
      <c r="L21" s="48">
        <f t="shared" si="4"/>
        <v>2500</v>
      </c>
      <c r="M21" s="48">
        <f t="shared" si="5"/>
        <v>174.37500000000003</v>
      </c>
      <c r="N21" s="199">
        <f t="shared" si="6"/>
        <v>375.00000000000006</v>
      </c>
    </row>
    <row r="22" spans="1:14" s="21" customFormat="1" ht="18" customHeight="1" x14ac:dyDescent="0.45">
      <c r="A22" s="75" t="str">
        <f>IF(F22&lt;&gt;"",(LARGE(A$7:A20,1)+1),"")</f>
        <v/>
      </c>
      <c r="B22" s="151"/>
      <c r="C22" s="144"/>
      <c r="D22" s="51"/>
      <c r="E22" s="48"/>
      <c r="F22" s="199"/>
      <c r="G22" s="48"/>
      <c r="H22" s="48"/>
      <c r="I22" s="48"/>
      <c r="J22" s="199"/>
      <c r="K22" s="59"/>
      <c r="L22" s="48"/>
      <c r="M22" s="48"/>
      <c r="N22" s="199"/>
    </row>
    <row r="23" spans="1:14" s="21" customFormat="1" ht="18" customHeight="1" x14ac:dyDescent="0.45">
      <c r="A23" s="75">
        <f>IF(F23&lt;&gt;"",(LARGE(A$7:A21,1)+1),"")</f>
        <v>7</v>
      </c>
      <c r="B23" s="151" t="s">
        <v>286</v>
      </c>
      <c r="C23" s="144">
        <v>1</v>
      </c>
      <c r="D23" s="51" t="s">
        <v>12</v>
      </c>
      <c r="E23" s="48">
        <f t="shared" si="1"/>
        <v>2442.8874999999998</v>
      </c>
      <c r="F23" s="199">
        <f t="shared" si="2"/>
        <v>2442.8874999999998</v>
      </c>
      <c r="G23" s="48">
        <v>674.25</v>
      </c>
      <c r="H23" s="48">
        <v>1450</v>
      </c>
      <c r="I23" s="48">
        <f>IF(D23=0," ",(G23)*([1]Details!$C$4+[1]Details!$C$8))</f>
        <v>101.13750000000002</v>
      </c>
      <c r="J23" s="199">
        <f>IF(D23=0," ",(H23)*([1]Details!$C$6+[1]Details!$C$8))</f>
        <v>217.50000000000003</v>
      </c>
      <c r="K23" s="59">
        <f t="shared" si="3"/>
        <v>674.25</v>
      </c>
      <c r="L23" s="48">
        <f t="shared" si="4"/>
        <v>1450</v>
      </c>
      <c r="M23" s="48">
        <f t="shared" si="5"/>
        <v>101.13750000000002</v>
      </c>
      <c r="N23" s="199">
        <f t="shared" si="6"/>
        <v>217.50000000000003</v>
      </c>
    </row>
    <row r="24" spans="1:14" s="21" customFormat="1" ht="18" customHeight="1" x14ac:dyDescent="0.45">
      <c r="A24" s="75" t="str">
        <f>IF(F24&lt;&gt;"",(LARGE(A$7:A22,1)+1),"")</f>
        <v/>
      </c>
      <c r="B24" s="151"/>
      <c r="C24" s="144"/>
      <c r="D24" s="51"/>
      <c r="E24" s="48"/>
      <c r="F24" s="199"/>
      <c r="G24" s="48"/>
      <c r="H24" s="48"/>
      <c r="I24" s="48"/>
      <c r="J24" s="199"/>
      <c r="K24" s="59"/>
      <c r="L24" s="48"/>
      <c r="M24" s="48"/>
      <c r="N24" s="199"/>
    </row>
    <row r="25" spans="1:14" s="21" customFormat="1" ht="18" customHeight="1" x14ac:dyDescent="0.45">
      <c r="A25" s="75">
        <f>IF(F25&lt;&gt;"",(LARGE(A$7:A23,1)+1),"")</f>
        <v>8</v>
      </c>
      <c r="B25" s="151" t="s">
        <v>287</v>
      </c>
      <c r="C25" s="144">
        <v>1</v>
      </c>
      <c r="D25" s="51" t="s">
        <v>12</v>
      </c>
      <c r="E25" s="48">
        <f t="shared" si="1"/>
        <v>985.57875000000013</v>
      </c>
      <c r="F25" s="199">
        <f t="shared" si="2"/>
        <v>985.57875000000013</v>
      </c>
      <c r="G25" s="48">
        <v>272.02500000000003</v>
      </c>
      <c r="H25" s="48">
        <v>585</v>
      </c>
      <c r="I25" s="48">
        <f>IF(D25=0," ",(G25)*([1]Details!$C$4+[1]Details!$C$8))</f>
        <v>40.803750000000008</v>
      </c>
      <c r="J25" s="199">
        <f>IF(D25=0," ",(H25)*([1]Details!$C$6+[1]Details!$C$8))</f>
        <v>87.750000000000014</v>
      </c>
      <c r="K25" s="59">
        <f t="shared" si="3"/>
        <v>272.02500000000003</v>
      </c>
      <c r="L25" s="48">
        <f t="shared" si="4"/>
        <v>585</v>
      </c>
      <c r="M25" s="48">
        <f t="shared" si="5"/>
        <v>40.803750000000008</v>
      </c>
      <c r="N25" s="199">
        <f t="shared" si="6"/>
        <v>87.750000000000014</v>
      </c>
    </row>
    <row r="26" spans="1:14" s="21" customFormat="1" ht="18.5" x14ac:dyDescent="0.45">
      <c r="A26" s="75" t="str">
        <f>IF(F26&lt;&gt;"",(LARGE(A$7:A24,1)+1),"")</f>
        <v/>
      </c>
      <c r="B26" s="151"/>
      <c r="C26" s="144"/>
      <c r="D26" s="51"/>
      <c r="E26" s="48"/>
      <c r="F26" s="199"/>
      <c r="G26" s="48"/>
      <c r="H26" s="48"/>
      <c r="I26" s="48"/>
      <c r="J26" s="199"/>
      <c r="K26" s="214"/>
      <c r="L26" s="20"/>
      <c r="M26" s="20"/>
      <c r="N26" s="199"/>
    </row>
    <row r="27" spans="1:14" s="38" customFormat="1" ht="18.5" x14ac:dyDescent="0.45">
      <c r="A27" s="75" t="str">
        <f>IF(F27&lt;&gt;"",(LARGE(A$7:A25,1)+1),"")</f>
        <v/>
      </c>
      <c r="B27" s="166" t="s">
        <v>288</v>
      </c>
      <c r="C27" s="144"/>
      <c r="D27" s="60"/>
      <c r="E27" s="48"/>
      <c r="F27" s="199"/>
      <c r="G27" s="48"/>
      <c r="H27" s="48"/>
      <c r="I27" s="48"/>
      <c r="J27" s="199"/>
      <c r="K27" s="59"/>
      <c r="L27" s="48"/>
      <c r="M27" s="48"/>
      <c r="N27" s="199"/>
    </row>
    <row r="28" spans="1:14" s="38" customFormat="1" ht="18.5" x14ac:dyDescent="0.45">
      <c r="A28" s="75" t="str">
        <f>IF(F28&lt;&gt;"",(LARGE(A$7:A26,1)+1),"")</f>
        <v/>
      </c>
      <c r="B28" s="166"/>
      <c r="C28" s="144"/>
      <c r="D28" s="60"/>
      <c r="E28" s="48"/>
      <c r="F28" s="199"/>
      <c r="G28" s="48"/>
      <c r="H28" s="48"/>
      <c r="I28" s="48"/>
      <c r="J28" s="199"/>
      <c r="K28" s="59"/>
      <c r="L28" s="48"/>
      <c r="M28" s="48"/>
      <c r="N28" s="199"/>
    </row>
    <row r="29" spans="1:14" s="38" customFormat="1" ht="18.5" x14ac:dyDescent="0.45">
      <c r="A29" s="75" t="str">
        <f>IF(F29&lt;&gt;"",(LARGE(A$7:A27,1)+1),"")</f>
        <v/>
      </c>
      <c r="B29" s="166" t="s">
        <v>186</v>
      </c>
      <c r="C29" s="144"/>
      <c r="D29" s="60"/>
      <c r="E29" s="48"/>
      <c r="F29" s="199"/>
      <c r="G29" s="48"/>
      <c r="H29" s="48"/>
      <c r="I29" s="48"/>
      <c r="J29" s="199"/>
      <c r="K29" s="59"/>
      <c r="L29" s="48"/>
      <c r="M29" s="48"/>
      <c r="N29" s="199"/>
    </row>
    <row r="30" spans="1:14" s="38" customFormat="1" ht="18.5" x14ac:dyDescent="0.45">
      <c r="A30" s="75"/>
      <c r="B30" s="166"/>
      <c r="C30" s="144"/>
      <c r="D30" s="60"/>
      <c r="E30" s="48"/>
      <c r="F30" s="199"/>
      <c r="G30" s="48"/>
      <c r="H30" s="48"/>
      <c r="I30" s="48"/>
      <c r="J30" s="199"/>
      <c r="K30" s="59"/>
      <c r="L30" s="48"/>
      <c r="M30" s="48"/>
      <c r="N30" s="199"/>
    </row>
    <row r="31" spans="1:14" s="38" customFormat="1" ht="18.5" x14ac:dyDescent="0.45">
      <c r="A31" s="75">
        <f>IF(F31&lt;&gt;"",(LARGE(A$7:A28,1)+1),"")</f>
        <v>9</v>
      </c>
      <c r="B31" s="151" t="s">
        <v>289</v>
      </c>
      <c r="C31" s="144">
        <v>5</v>
      </c>
      <c r="D31" s="51" t="s">
        <v>12</v>
      </c>
      <c r="E31" s="48">
        <f t="shared" ref="E31:E37" si="7">G31+H31+J31+I31</f>
        <v>1086.6637499999999</v>
      </c>
      <c r="F31" s="199">
        <f t="shared" ref="F31:F37" si="8">E31*C31</f>
        <v>5433.3187499999995</v>
      </c>
      <c r="G31" s="48">
        <v>299.92500000000001</v>
      </c>
      <c r="H31" s="48">
        <v>645</v>
      </c>
      <c r="I31" s="48">
        <f>IF(D31=0," ",(G31)*([1]Details!$C$4+[1]Details!$C$8))</f>
        <v>44.98875000000001</v>
      </c>
      <c r="J31" s="199">
        <f>IF(D31=0," ",(H31)*([1]Details!$C$6+[1]Details!$C$8))</f>
        <v>96.750000000000014</v>
      </c>
      <c r="K31" s="59">
        <f t="shared" ref="K31:K37" si="9">+G31*C31</f>
        <v>1499.625</v>
      </c>
      <c r="L31" s="48">
        <f t="shared" ref="L31:L37" si="10">+H31*C31</f>
        <v>3225</v>
      </c>
      <c r="M31" s="48">
        <f t="shared" ref="M31:M37" si="11">IF(D31=0," ",(I31*C31))</f>
        <v>224.94375000000005</v>
      </c>
      <c r="N31" s="199">
        <f t="shared" ref="N31:N37" si="12">IF(D31=0," ",(J31*C31))</f>
        <v>483.75000000000006</v>
      </c>
    </row>
    <row r="32" spans="1:14" s="38" customFormat="1" ht="18.5" x14ac:dyDescent="0.45">
      <c r="A32" s="75" t="str">
        <f>IF(F32&lt;&gt;"",(LARGE(A$7:A29,1)+1),"")</f>
        <v/>
      </c>
      <c r="B32" s="151"/>
      <c r="C32" s="144"/>
      <c r="D32" s="51"/>
      <c r="E32" s="48"/>
      <c r="F32" s="199"/>
      <c r="G32" s="48"/>
      <c r="H32" s="48"/>
      <c r="I32" s="48"/>
      <c r="J32" s="199"/>
      <c r="K32" s="59"/>
      <c r="L32" s="48"/>
      <c r="M32" s="48"/>
      <c r="N32" s="199"/>
    </row>
    <row r="33" spans="1:14" s="38" customFormat="1" ht="18.5" x14ac:dyDescent="0.45">
      <c r="A33" s="75">
        <f>IF(F33&lt;&gt;"",(LARGE(A$7:A31,1)+1),"")</f>
        <v>10</v>
      </c>
      <c r="B33" s="151" t="s">
        <v>290</v>
      </c>
      <c r="C33" s="144">
        <v>6</v>
      </c>
      <c r="D33" s="51" t="s">
        <v>12</v>
      </c>
      <c r="E33" s="48">
        <f t="shared" si="7"/>
        <v>951.88375000000008</v>
      </c>
      <c r="F33" s="199">
        <f t="shared" si="8"/>
        <v>5711.3025000000007</v>
      </c>
      <c r="G33" s="48">
        <v>262.72500000000002</v>
      </c>
      <c r="H33" s="48">
        <v>565</v>
      </c>
      <c r="I33" s="48">
        <f>IF(D33=0," ",(G33)*([1]Details!$C$4+[1]Details!$C$8))</f>
        <v>39.408750000000012</v>
      </c>
      <c r="J33" s="199">
        <f>IF(D33=0," ",(H33)*([1]Details!$C$6+[1]Details!$C$8))</f>
        <v>84.750000000000014</v>
      </c>
      <c r="K33" s="59">
        <f t="shared" si="9"/>
        <v>1576.3500000000001</v>
      </c>
      <c r="L33" s="48">
        <f t="shared" si="10"/>
        <v>3390</v>
      </c>
      <c r="M33" s="48">
        <f t="shared" si="11"/>
        <v>236.45250000000007</v>
      </c>
      <c r="N33" s="199">
        <f t="shared" si="12"/>
        <v>508.50000000000011</v>
      </c>
    </row>
    <row r="34" spans="1:14" s="38" customFormat="1" ht="18.5" x14ac:dyDescent="0.45">
      <c r="A34" s="75" t="str">
        <f>IF(F34&lt;&gt;"",(LARGE(A$7:A32,1)+1),"")</f>
        <v/>
      </c>
      <c r="B34" s="151"/>
      <c r="C34" s="144"/>
      <c r="D34" s="51"/>
      <c r="E34" s="48"/>
      <c r="F34" s="199"/>
      <c r="G34" s="48"/>
      <c r="H34" s="48"/>
      <c r="I34" s="48"/>
      <c r="J34" s="199"/>
      <c r="K34" s="59"/>
      <c r="L34" s="48"/>
      <c r="M34" s="48"/>
      <c r="N34" s="199"/>
    </row>
    <row r="35" spans="1:14" s="38" customFormat="1" ht="18.5" x14ac:dyDescent="0.45">
      <c r="A35" s="75">
        <f>IF(F35&lt;&gt;"",(LARGE(A$7:A33,1)+1),"")</f>
        <v>11</v>
      </c>
      <c r="B35" s="151" t="s">
        <v>291</v>
      </c>
      <c r="C35" s="144">
        <v>1</v>
      </c>
      <c r="D35" s="51" t="s">
        <v>12</v>
      </c>
      <c r="E35" s="48">
        <f t="shared" si="7"/>
        <v>1288.83375</v>
      </c>
      <c r="F35" s="199">
        <f t="shared" si="8"/>
        <v>1288.83375</v>
      </c>
      <c r="G35" s="48">
        <v>355.72500000000002</v>
      </c>
      <c r="H35" s="48">
        <v>765</v>
      </c>
      <c r="I35" s="48">
        <f>IF(D35=0," ",(G35)*([1]Details!$C$4+[1]Details!$C$8))</f>
        <v>53.358750000000015</v>
      </c>
      <c r="J35" s="199">
        <f>IF(D35=0," ",(H35)*([1]Details!$C$6+[1]Details!$C$8))</f>
        <v>114.75000000000001</v>
      </c>
      <c r="K35" s="59">
        <f t="shared" si="9"/>
        <v>355.72500000000002</v>
      </c>
      <c r="L35" s="48">
        <f t="shared" si="10"/>
        <v>765</v>
      </c>
      <c r="M35" s="48">
        <f t="shared" si="11"/>
        <v>53.358750000000015</v>
      </c>
      <c r="N35" s="199">
        <f t="shared" si="12"/>
        <v>114.75000000000001</v>
      </c>
    </row>
    <row r="36" spans="1:14" s="38" customFormat="1" ht="18.5" x14ac:dyDescent="0.45">
      <c r="A36" s="75" t="str">
        <f>IF(F36&lt;&gt;"",(LARGE(A$7:A34,1)+1),"")</f>
        <v/>
      </c>
      <c r="B36" s="151"/>
      <c r="C36" s="144"/>
      <c r="D36" s="51"/>
      <c r="E36" s="48"/>
      <c r="F36" s="199"/>
      <c r="G36" s="48"/>
      <c r="H36" s="48"/>
      <c r="I36" s="48"/>
      <c r="J36" s="199"/>
      <c r="K36" s="59"/>
      <c r="L36" s="48"/>
      <c r="M36" s="48"/>
      <c r="N36" s="199"/>
    </row>
    <row r="37" spans="1:14" s="38" customFormat="1" ht="18.5" x14ac:dyDescent="0.45">
      <c r="A37" s="75">
        <f>IF(F37&lt;&gt;"",(LARGE(A$7:A35,1)+1),"")</f>
        <v>12</v>
      </c>
      <c r="B37" s="151" t="s">
        <v>292</v>
      </c>
      <c r="C37" s="144">
        <v>2</v>
      </c>
      <c r="D37" s="51" t="s">
        <v>12</v>
      </c>
      <c r="E37" s="48">
        <f t="shared" si="7"/>
        <v>749.71375</v>
      </c>
      <c r="F37" s="199">
        <f t="shared" si="8"/>
        <v>1499.4275</v>
      </c>
      <c r="G37" s="48">
        <v>206.92500000000001</v>
      </c>
      <c r="H37" s="48">
        <v>445</v>
      </c>
      <c r="I37" s="48">
        <f>IF(D37=0," ",(G37)*([1]Details!$C$4+[1]Details!$C$8))</f>
        <v>31.038750000000007</v>
      </c>
      <c r="J37" s="199">
        <f>IF(D37=0," ",(H37)*([1]Details!$C$6+[1]Details!$C$8))</f>
        <v>66.750000000000014</v>
      </c>
      <c r="K37" s="59">
        <f t="shared" si="9"/>
        <v>413.85</v>
      </c>
      <c r="L37" s="48">
        <f t="shared" si="10"/>
        <v>890</v>
      </c>
      <c r="M37" s="48">
        <f t="shared" si="11"/>
        <v>62.077500000000015</v>
      </c>
      <c r="N37" s="199">
        <f t="shared" si="12"/>
        <v>133.50000000000003</v>
      </c>
    </row>
    <row r="38" spans="1:14" s="38" customFormat="1" ht="18.5" x14ac:dyDescent="0.45">
      <c r="A38" s="75" t="str">
        <f>IF(F38&lt;&gt;"",(LARGE(A$7:A36,1)+1),"")</f>
        <v/>
      </c>
      <c r="B38" s="151"/>
      <c r="C38" s="144"/>
      <c r="D38" s="51"/>
      <c r="E38" s="48"/>
      <c r="F38" s="199"/>
      <c r="G38" s="48"/>
      <c r="H38" s="48"/>
      <c r="I38" s="48"/>
      <c r="J38" s="199"/>
      <c r="K38" s="59"/>
      <c r="L38" s="48"/>
      <c r="M38" s="48"/>
      <c r="N38" s="199"/>
    </row>
    <row r="39" spans="1:14" s="38" customFormat="1" ht="18.5" x14ac:dyDescent="0.45">
      <c r="A39" s="75">
        <f>IF(F39&lt;&gt;"",(LARGE(A$7:A37,1)+1),"")</f>
        <v>13</v>
      </c>
      <c r="B39" s="151" t="s">
        <v>293</v>
      </c>
      <c r="C39" s="144">
        <v>1</v>
      </c>
      <c r="D39" s="51" t="s">
        <v>12</v>
      </c>
      <c r="E39" s="48">
        <f>G39+H39+J39+I39</f>
        <v>985.57875000000013</v>
      </c>
      <c r="F39" s="199">
        <f>E39*C39</f>
        <v>985.57875000000013</v>
      </c>
      <c r="G39" s="48">
        <v>272.02500000000003</v>
      </c>
      <c r="H39" s="48">
        <v>585</v>
      </c>
      <c r="I39" s="48">
        <f>IF(D39=0," ",(G39)*([1]Details!$C$4+[1]Details!$C$8))</f>
        <v>40.803750000000008</v>
      </c>
      <c r="J39" s="199">
        <f>IF(D39=0," ",(H39)*([1]Details!$C$6+[1]Details!$C$8))</f>
        <v>87.750000000000014</v>
      </c>
      <c r="K39" s="59">
        <f>+G39*C39</f>
        <v>272.02500000000003</v>
      </c>
      <c r="L39" s="48">
        <f>+H39*C39</f>
        <v>585</v>
      </c>
      <c r="M39" s="48">
        <f>IF(D39=0," ",(I39*C39))</f>
        <v>40.803750000000008</v>
      </c>
      <c r="N39" s="199">
        <f>IF(D39=0," ",(J39*C39))</f>
        <v>87.750000000000014</v>
      </c>
    </row>
    <row r="40" spans="1:14" s="38" customFormat="1" ht="18.5" x14ac:dyDescent="0.45">
      <c r="A40" s="75" t="str">
        <f>IF(F40&lt;&gt;"",(LARGE(A$7:A38,1)+1),"")</f>
        <v/>
      </c>
      <c r="B40" s="151"/>
      <c r="C40" s="144"/>
      <c r="D40" s="51"/>
      <c r="E40" s="48"/>
      <c r="F40" s="199"/>
      <c r="G40" s="48"/>
      <c r="H40" s="48"/>
      <c r="I40" s="48"/>
      <c r="J40" s="199"/>
      <c r="K40" s="59"/>
      <c r="L40" s="48"/>
      <c r="M40" s="48"/>
      <c r="N40" s="199"/>
    </row>
    <row r="41" spans="1:14" s="38" customFormat="1" ht="18.5" x14ac:dyDescent="0.45">
      <c r="A41" s="75" t="str">
        <f>IF(F41&lt;&gt;"",(LARGE(A$7:A39,1)+1),"")</f>
        <v/>
      </c>
      <c r="B41" s="166" t="s">
        <v>294</v>
      </c>
      <c r="C41" s="144"/>
      <c r="D41" s="51"/>
      <c r="E41" s="48"/>
      <c r="F41" s="199"/>
      <c r="G41" s="48"/>
      <c r="H41" s="48"/>
      <c r="I41" s="48"/>
      <c r="J41" s="199"/>
      <c r="K41" s="59"/>
      <c r="L41" s="48"/>
      <c r="M41" s="48"/>
      <c r="N41" s="199"/>
    </row>
    <row r="42" spans="1:14" s="38" customFormat="1" ht="18.5" x14ac:dyDescent="0.45">
      <c r="A42" s="75">
        <f>IF(F42&lt;&gt;"",(LARGE(A$7:A40,1)+1),"")</f>
        <v>14</v>
      </c>
      <c r="B42" s="151" t="s">
        <v>295</v>
      </c>
      <c r="C42" s="144">
        <v>3</v>
      </c>
      <c r="D42" s="51" t="s">
        <v>12</v>
      </c>
      <c r="E42" s="48">
        <f t="shared" ref="E42:E52" si="13">G42+H42+J42+I42</f>
        <v>76.656125000000003</v>
      </c>
      <c r="F42" s="199">
        <f t="shared" ref="F42:F52" si="14">E42*C42</f>
        <v>229.96837500000001</v>
      </c>
      <c r="G42" s="48">
        <v>21.157500000000002</v>
      </c>
      <c r="H42" s="48">
        <v>45.5</v>
      </c>
      <c r="I42" s="48">
        <f>IF(D42=0," ",(G42)*([1]Details!$C$4+[1]Details!$C$8))</f>
        <v>3.1736250000000008</v>
      </c>
      <c r="J42" s="199">
        <f>IF(D42=0," ",(H42)*([1]Details!$C$6+[1]Details!$C$8))</f>
        <v>6.8250000000000011</v>
      </c>
      <c r="K42" s="59">
        <f t="shared" ref="K42:K52" si="15">+G42*C42</f>
        <v>63.472500000000011</v>
      </c>
      <c r="L42" s="48">
        <f t="shared" ref="L42:L52" si="16">+H42*C42</f>
        <v>136.5</v>
      </c>
      <c r="M42" s="48">
        <f t="shared" ref="M42:M52" si="17">IF(D42=0," ",(I42*C42))</f>
        <v>9.520875000000002</v>
      </c>
      <c r="N42" s="199">
        <f t="shared" ref="N42:N52" si="18">IF(D42=0," ",(J42*C42))</f>
        <v>20.475000000000001</v>
      </c>
    </row>
    <row r="43" spans="1:14" s="38" customFormat="1" ht="18.5" x14ac:dyDescent="0.45">
      <c r="A43" s="75" t="str">
        <f>IF(F43&lt;&gt;"",(LARGE(A$7:A41,1)+1),"")</f>
        <v/>
      </c>
      <c r="B43" s="151"/>
      <c r="C43" s="144"/>
      <c r="D43" s="51"/>
      <c r="E43" s="48"/>
      <c r="F43" s="199"/>
      <c r="G43" s="48"/>
      <c r="H43" s="48"/>
      <c r="I43" s="48"/>
      <c r="J43" s="199"/>
      <c r="K43" s="59"/>
      <c r="L43" s="48"/>
      <c r="M43" s="48"/>
      <c r="N43" s="199"/>
    </row>
    <row r="44" spans="1:14" s="38" customFormat="1" ht="18.5" x14ac:dyDescent="0.45">
      <c r="A44" s="75">
        <f>IF(F44&lt;&gt;"",(LARGE(A$7:A42,1)+1),"")</f>
        <v>15</v>
      </c>
      <c r="B44" s="151" t="s">
        <v>296</v>
      </c>
      <c r="C44" s="144">
        <v>3</v>
      </c>
      <c r="D44" s="51" t="s">
        <v>12</v>
      </c>
      <c r="E44" s="48">
        <f t="shared" si="13"/>
        <v>58.123874999999998</v>
      </c>
      <c r="F44" s="199">
        <f t="shared" si="14"/>
        <v>174.37162499999999</v>
      </c>
      <c r="G44" s="48">
        <v>16.0425</v>
      </c>
      <c r="H44" s="48">
        <v>34.5</v>
      </c>
      <c r="I44" s="48">
        <f>IF(D44=0," ",(G44)*([1]Details!$C$4+[1]Details!$C$8))</f>
        <v>2.4063750000000006</v>
      </c>
      <c r="J44" s="199">
        <f>IF(D44=0," ",(H44)*([1]Details!$C$6+[1]Details!$C$8))</f>
        <v>5.1750000000000007</v>
      </c>
      <c r="K44" s="59">
        <f t="shared" si="15"/>
        <v>48.127499999999998</v>
      </c>
      <c r="L44" s="48">
        <f t="shared" si="16"/>
        <v>103.5</v>
      </c>
      <c r="M44" s="48">
        <f t="shared" si="17"/>
        <v>7.2191250000000018</v>
      </c>
      <c r="N44" s="199">
        <f t="shared" si="18"/>
        <v>15.525000000000002</v>
      </c>
    </row>
    <row r="45" spans="1:14" s="38" customFormat="1" ht="18.5" x14ac:dyDescent="0.45">
      <c r="A45" s="75" t="str">
        <f>IF(F45&lt;&gt;"",(LARGE(A$7:A43,1)+1),"")</f>
        <v/>
      </c>
      <c r="B45" s="151"/>
      <c r="C45" s="144"/>
      <c r="D45" s="51"/>
      <c r="E45" s="48"/>
      <c r="F45" s="199"/>
      <c r="G45" s="48"/>
      <c r="H45" s="48"/>
      <c r="I45" s="48"/>
      <c r="J45" s="199"/>
      <c r="K45" s="59"/>
      <c r="L45" s="48"/>
      <c r="M45" s="48"/>
      <c r="N45" s="199"/>
    </row>
    <row r="46" spans="1:14" s="38" customFormat="1" ht="18.5" x14ac:dyDescent="0.45">
      <c r="A46" s="75">
        <f>IF(F46&lt;&gt;"",(LARGE(A$7:A44,1)+1),"")</f>
        <v>16</v>
      </c>
      <c r="B46" s="151" t="s">
        <v>297</v>
      </c>
      <c r="C46" s="144">
        <v>3</v>
      </c>
      <c r="D46" s="51" t="s">
        <v>12</v>
      </c>
      <c r="E46" s="48">
        <f t="shared" si="13"/>
        <v>194.08320000000001</v>
      </c>
      <c r="F46" s="199">
        <f t="shared" si="14"/>
        <v>582.24959999999999</v>
      </c>
      <c r="G46" s="48">
        <v>53.568000000000005</v>
      </c>
      <c r="H46" s="48">
        <v>115.2</v>
      </c>
      <c r="I46" s="48">
        <f>IF(D46=0," ",(G46)*([1]Details!$C$4+[1]Details!$C$8))</f>
        <v>8.0352000000000015</v>
      </c>
      <c r="J46" s="199">
        <f>IF(D46=0," ",(H46)*([1]Details!$C$6+[1]Details!$C$8))</f>
        <v>17.280000000000005</v>
      </c>
      <c r="K46" s="59">
        <f t="shared" si="15"/>
        <v>160.70400000000001</v>
      </c>
      <c r="L46" s="48">
        <f t="shared" si="16"/>
        <v>345.6</v>
      </c>
      <c r="M46" s="48">
        <f t="shared" si="17"/>
        <v>24.105600000000003</v>
      </c>
      <c r="N46" s="199">
        <f t="shared" si="18"/>
        <v>51.840000000000018</v>
      </c>
    </row>
    <row r="47" spans="1:14" s="38" customFormat="1" ht="18.5" x14ac:dyDescent="0.45">
      <c r="A47" s="75" t="str">
        <f>IF(F47&lt;&gt;"",(LARGE(A$7:A45,1)+1),"")</f>
        <v/>
      </c>
      <c r="B47" s="151"/>
      <c r="C47" s="144"/>
      <c r="D47" s="51"/>
      <c r="E47" s="48"/>
      <c r="F47" s="199"/>
      <c r="G47" s="48"/>
      <c r="H47" s="48"/>
      <c r="I47" s="48"/>
      <c r="J47" s="199"/>
      <c r="K47" s="59"/>
      <c r="L47" s="48"/>
      <c r="M47" s="48"/>
      <c r="N47" s="199"/>
    </row>
    <row r="48" spans="1:14" s="38" customFormat="1" ht="18.5" x14ac:dyDescent="0.45">
      <c r="A48" s="75">
        <f>IF(F48&lt;&gt;"",(LARGE(A$7:A46,1)+1),"")</f>
        <v>17</v>
      </c>
      <c r="B48" s="151" t="s">
        <v>298</v>
      </c>
      <c r="C48" s="144">
        <v>4</v>
      </c>
      <c r="D48" s="51" t="s">
        <v>12</v>
      </c>
      <c r="E48" s="48">
        <f t="shared" si="13"/>
        <v>64.862875000000003</v>
      </c>
      <c r="F48" s="199">
        <f t="shared" si="14"/>
        <v>259.45150000000001</v>
      </c>
      <c r="G48" s="48">
        <v>17.9025</v>
      </c>
      <c r="H48" s="48">
        <v>38.5</v>
      </c>
      <c r="I48" s="48">
        <f>IF(D48=0," ",(G48)*([1]Details!$C$4+[1]Details!$C$8))</f>
        <v>2.6853750000000005</v>
      </c>
      <c r="J48" s="199">
        <f>IF(D48=0," ",(H48)*([1]Details!$C$6+[1]Details!$C$8))</f>
        <v>5.7750000000000012</v>
      </c>
      <c r="K48" s="59">
        <f t="shared" si="15"/>
        <v>71.61</v>
      </c>
      <c r="L48" s="48">
        <f t="shared" si="16"/>
        <v>154</v>
      </c>
      <c r="M48" s="48">
        <f t="shared" si="17"/>
        <v>10.741500000000002</v>
      </c>
      <c r="N48" s="199">
        <f t="shared" si="18"/>
        <v>23.100000000000005</v>
      </c>
    </row>
    <row r="49" spans="1:16" s="38" customFormat="1" ht="18.5" x14ac:dyDescent="0.45">
      <c r="A49" s="75" t="str">
        <f>IF(F49&lt;&gt;"",(LARGE(A$7:A47,1)+1),"")</f>
        <v/>
      </c>
      <c r="B49" s="151"/>
      <c r="C49" s="144"/>
      <c r="D49" s="51"/>
      <c r="E49" s="48"/>
      <c r="F49" s="199"/>
      <c r="G49" s="48"/>
      <c r="H49" s="48"/>
      <c r="I49" s="48"/>
      <c r="J49" s="199"/>
      <c r="K49" s="59"/>
      <c r="L49" s="48"/>
      <c r="M49" s="48"/>
      <c r="N49" s="199"/>
    </row>
    <row r="50" spans="1:16" s="38" customFormat="1" ht="18.5" x14ac:dyDescent="0.45">
      <c r="A50" s="75">
        <f>IF(F50&lt;&gt;"",(LARGE(A$7:A48,1)+1),"")</f>
        <v>18</v>
      </c>
      <c r="B50" s="151" t="s">
        <v>299</v>
      </c>
      <c r="C50" s="144">
        <v>4</v>
      </c>
      <c r="D50" s="51" t="s">
        <v>12</v>
      </c>
      <c r="E50" s="48">
        <f t="shared" si="13"/>
        <v>86.764625000000009</v>
      </c>
      <c r="F50" s="199">
        <f t="shared" si="14"/>
        <v>347.05850000000004</v>
      </c>
      <c r="G50" s="48">
        <v>23.947500000000002</v>
      </c>
      <c r="H50" s="48">
        <v>51.5</v>
      </c>
      <c r="I50" s="48">
        <f>IF(D50=0," ",(G50)*([1]Details!$C$4+[1]Details!$C$8))</f>
        <v>3.5921250000000007</v>
      </c>
      <c r="J50" s="199">
        <f>IF(D50=0," ",(H50)*([1]Details!$C$6+[1]Details!$C$8))</f>
        <v>7.7250000000000014</v>
      </c>
      <c r="K50" s="59">
        <f t="shared" si="15"/>
        <v>95.79</v>
      </c>
      <c r="L50" s="48">
        <f t="shared" si="16"/>
        <v>206</v>
      </c>
      <c r="M50" s="48">
        <f t="shared" si="17"/>
        <v>14.368500000000003</v>
      </c>
      <c r="N50" s="199">
        <f t="shared" si="18"/>
        <v>30.900000000000006</v>
      </c>
    </row>
    <row r="51" spans="1:16" s="38" customFormat="1" ht="18.5" x14ac:dyDescent="0.45">
      <c r="A51" s="75" t="str">
        <f>IF(F51&lt;&gt;"",(LARGE(A$7:A49,1)+1),"")</f>
        <v/>
      </c>
      <c r="B51" s="151"/>
      <c r="C51" s="144"/>
      <c r="D51" s="51"/>
      <c r="E51" s="48"/>
      <c r="F51" s="199"/>
      <c r="G51" s="48"/>
      <c r="H51" s="48"/>
      <c r="I51" s="48"/>
      <c r="J51" s="199"/>
      <c r="K51" s="59"/>
      <c r="L51" s="48"/>
      <c r="M51" s="48"/>
      <c r="N51" s="199"/>
    </row>
    <row r="52" spans="1:16" s="38" customFormat="1" ht="18.5" x14ac:dyDescent="0.45">
      <c r="A52" s="75">
        <f>IF(F52&lt;&gt;"",(LARGE(A$7:A50,1)+1),"")</f>
        <v>19</v>
      </c>
      <c r="B52" s="151" t="s">
        <v>300</v>
      </c>
      <c r="C52" s="144">
        <v>3.13</v>
      </c>
      <c r="D52" s="51" t="s">
        <v>13</v>
      </c>
      <c r="E52" s="48">
        <f t="shared" si="13"/>
        <v>98.55787500000001</v>
      </c>
      <c r="F52" s="199">
        <f t="shared" si="14"/>
        <v>308.48614875000004</v>
      </c>
      <c r="G52" s="48">
        <v>27.202500000000001</v>
      </c>
      <c r="H52" s="48">
        <v>58.5</v>
      </c>
      <c r="I52" s="48">
        <f>IF(D52=0," ",(G52)*([1]Details!$C$4+[1]Details!$C$8))</f>
        <v>4.080375000000001</v>
      </c>
      <c r="J52" s="199">
        <f>IF(D52=0," ",(H52)*([1]Details!$C$6+[1]Details!$C$8))</f>
        <v>8.7750000000000021</v>
      </c>
      <c r="K52" s="59">
        <f t="shared" si="15"/>
        <v>85.143824999999993</v>
      </c>
      <c r="L52" s="48">
        <f t="shared" si="16"/>
        <v>183.10499999999999</v>
      </c>
      <c r="M52" s="48">
        <f t="shared" si="17"/>
        <v>12.771573750000002</v>
      </c>
      <c r="N52" s="199">
        <f t="shared" si="18"/>
        <v>27.465750000000007</v>
      </c>
    </row>
    <row r="53" spans="1:16" s="21" customFormat="1" ht="18.5" x14ac:dyDescent="0.45">
      <c r="A53" s="75" t="str">
        <f>IF(F53&lt;&gt;"",(LARGE(A$7:A52,1)+1),"")</f>
        <v/>
      </c>
      <c r="B53" s="151"/>
      <c r="C53" s="52"/>
      <c r="D53" s="51"/>
      <c r="E53" s="48"/>
      <c r="F53" s="199"/>
      <c r="G53" s="59"/>
      <c r="H53" s="48"/>
      <c r="I53" s="48"/>
      <c r="J53" s="199" t="str">
        <f>IF(D53=0," ",(G53+H53)*(Details!$C$4+Details!$C$6))</f>
        <v xml:space="preserve"> </v>
      </c>
      <c r="K53" s="214"/>
      <c r="L53" s="20"/>
      <c r="M53" s="20"/>
      <c r="N53" s="199"/>
      <c r="P53" s="72" t="s">
        <v>125</v>
      </c>
    </row>
    <row r="54" spans="1:16" s="21" customFormat="1" ht="19" thickBot="1" x14ac:dyDescent="0.5">
      <c r="A54" s="75"/>
      <c r="B54" s="160"/>
      <c r="C54" s="52"/>
      <c r="D54" s="60"/>
      <c r="E54" s="62" t="s">
        <v>97</v>
      </c>
      <c r="F54" s="200">
        <f>SUM(F8:F53)</f>
        <v>34577.31199875001</v>
      </c>
      <c r="G54" s="59"/>
      <c r="H54" s="48"/>
      <c r="I54" s="48"/>
      <c r="J54" s="199" t="str">
        <f>IF(D54=0," ",(G54+H54)*(Details!$C$4+Details!$C$6))</f>
        <v xml:space="preserve"> </v>
      </c>
      <c r="K54" s="200">
        <f>SUM(K8:K53)</f>
        <v>9543.5228250000018</v>
      </c>
      <c r="L54" s="200">
        <f>SUM(L8:L53)</f>
        <v>20523.704999999998</v>
      </c>
      <c r="M54" s="200">
        <f>SUM(M8:M53)</f>
        <v>1431.5284237500007</v>
      </c>
      <c r="N54" s="200">
        <f>SUM(N8:N53)</f>
        <v>3078.5557500000004</v>
      </c>
      <c r="O54" s="55"/>
      <c r="P54" s="72">
        <f>+F54-K54-L54-N54-M54</f>
        <v>1.1141310096718371E-11</v>
      </c>
    </row>
    <row r="55" spans="1:16" s="21" customFormat="1" ht="19.5" thickTop="1" thickBot="1" x14ac:dyDescent="0.5">
      <c r="A55" s="161" t="str">
        <f>IF(F55&lt;&gt;"",(LARGE(A$7:A54,1)+1),"")</f>
        <v/>
      </c>
      <c r="B55" s="162"/>
      <c r="C55" s="163"/>
      <c r="D55" s="63"/>
      <c r="E55" s="65"/>
      <c r="F55" s="67"/>
      <c r="G55" s="66"/>
      <c r="H55" s="65"/>
      <c r="I55" s="65"/>
      <c r="J55" s="67" t="str">
        <f>IF(D55=0," ",(G55+H55)*(Details!$C$4+Details!$C$6))</f>
        <v xml:space="preserve"> </v>
      </c>
      <c r="K55" s="227"/>
      <c r="L55" s="227"/>
      <c r="M55" s="227"/>
      <c r="N55" s="187"/>
      <c r="O55" s="55"/>
    </row>
    <row r="56" spans="1:16" x14ac:dyDescent="0.35">
      <c r="J56" s="16"/>
    </row>
    <row r="57" spans="1:16" x14ac:dyDescent="0.35">
      <c r="J57" s="16"/>
    </row>
  </sheetData>
  <mergeCells count="2">
    <mergeCell ref="G5:J5"/>
    <mergeCell ref="K5:N5"/>
  </mergeCells>
  <conditionalFormatting sqref="G8:G10550">
    <cfRule type="notContainsBlanks" dxfId="39" priority="6">
      <formula>LEN(TRIM(G8))&gt;0</formula>
    </cfRule>
  </conditionalFormatting>
  <conditionalFormatting sqref="H11:H25">
    <cfRule type="notContainsBlanks" dxfId="38" priority="3">
      <formula>LEN(TRIM(H11))&gt;0</formula>
    </cfRule>
  </conditionalFormatting>
  <conditionalFormatting sqref="H31:H52">
    <cfRule type="notContainsBlanks" dxfId="37" priority="2">
      <formula>LEN(TRIM(H31))&gt;0</formula>
    </cfRule>
  </conditionalFormatting>
  <conditionalFormatting sqref="H8:I10 H53:I10550">
    <cfRule type="notContainsBlanks" dxfId="36" priority="21">
      <formula>LEN(TRIM(H8))&gt;0</formula>
    </cfRule>
  </conditionalFormatting>
  <conditionalFormatting sqref="H26:I30">
    <cfRule type="notContainsBlanks" dxfId="35" priority="4">
      <formula>LEN(TRIM(H26))&gt;0</formula>
    </cfRule>
  </conditionalFormatting>
  <conditionalFormatting sqref="P54">
    <cfRule type="cellIs" dxfId="34" priority="28" operator="equal">
      <formula>0</formula>
    </cfRule>
    <cfRule type="cellIs" dxfId="33" priority="29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>
    <pageSetUpPr fitToPage="1"/>
  </sheetPr>
  <dimension ref="A1:P90"/>
  <sheetViews>
    <sheetView topLeftCell="A38" zoomScale="55" zoomScaleNormal="55" workbookViewId="0">
      <selection activeCell="N90" sqref="N90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0"/>
      <c r="D1" s="24"/>
      <c r="E1" s="33"/>
      <c r="F1" s="34"/>
      <c r="G1" s="33"/>
      <c r="H1" s="33"/>
      <c r="I1" s="33"/>
      <c r="J1" s="24"/>
    </row>
    <row r="2" spans="1:14" x14ac:dyDescent="0.35">
      <c r="A2" s="15"/>
      <c r="B2" s="3" t="str">
        <f>+'Qual, Excl &amp; Assum'!B2</f>
        <v>PROJECT NAME: SQUAIRRELS LEAP GUILDFORD ROAD, CHERTSEY KT16 9RU</v>
      </c>
      <c r="F2" s="35"/>
      <c r="J2" s="16"/>
    </row>
    <row r="3" spans="1:14" x14ac:dyDescent="0.35">
      <c r="A3" s="15"/>
      <c r="B3" s="53" t="str">
        <f>+'Qual, Excl &amp; Assum'!B3</f>
        <v>DATE: 25TH NOVEMBER 2025</v>
      </c>
      <c r="F3" s="35"/>
      <c r="J3" s="16"/>
    </row>
    <row r="4" spans="1:14" s="21" customFormat="1" ht="16" thickBot="1" x14ac:dyDescent="0.4">
      <c r="A4" s="15"/>
      <c r="B4" s="22"/>
      <c r="C4" s="28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4">
      <c r="A5" s="206"/>
      <c r="B5" s="207" t="s">
        <v>18</v>
      </c>
      <c r="C5" s="211"/>
      <c r="D5" s="209"/>
      <c r="E5" s="210"/>
      <c r="F5" s="216"/>
      <c r="G5" s="359" t="s">
        <v>121</v>
      </c>
      <c r="H5" s="360"/>
      <c r="I5" s="360"/>
      <c r="J5" s="361"/>
      <c r="K5" s="359" t="s">
        <v>122</v>
      </c>
      <c r="L5" s="360"/>
      <c r="M5" s="360"/>
      <c r="N5" s="361"/>
    </row>
    <row r="6" spans="1:14" s="21" customFormat="1" ht="18.5" x14ac:dyDescent="0.45">
      <c r="A6" s="49"/>
      <c r="B6" s="38"/>
      <c r="C6" s="52"/>
      <c r="D6" s="38"/>
      <c r="E6" s="64"/>
      <c r="F6" s="197"/>
      <c r="G6" s="251"/>
      <c r="H6" s="64"/>
      <c r="I6" s="64"/>
      <c r="J6" s="202"/>
      <c r="K6" s="214"/>
      <c r="L6" s="20"/>
      <c r="M6" s="20"/>
      <c r="N6" s="27"/>
    </row>
    <row r="7" spans="1:14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4" s="21" customFormat="1" ht="18.5" x14ac:dyDescent="0.45">
      <c r="A8" s="49"/>
      <c r="B8" s="158"/>
      <c r="C8" s="147"/>
      <c r="D8" s="61"/>
      <c r="E8" s="62"/>
      <c r="F8" s="198"/>
      <c r="G8" s="59"/>
      <c r="H8" s="48"/>
      <c r="I8" s="48"/>
      <c r="J8" s="203"/>
      <c r="K8" s="214"/>
      <c r="L8" s="20"/>
      <c r="M8" s="20"/>
      <c r="N8" s="199" t="str">
        <f t="shared" ref="N8" si="0">IF(D8=0," ",(J8*C8))</f>
        <v xml:space="preserve"> </v>
      </c>
    </row>
    <row r="9" spans="1:14" s="21" customFormat="1" ht="18.5" x14ac:dyDescent="0.45">
      <c r="A9" s="49"/>
      <c r="B9" s="159" t="s">
        <v>309</v>
      </c>
      <c r="C9" s="144"/>
      <c r="D9" s="51"/>
      <c r="E9" s="48"/>
      <c r="F9" s="199"/>
      <c r="G9" s="59"/>
      <c r="H9" s="48"/>
      <c r="I9" s="48"/>
      <c r="J9" s="199"/>
      <c r="K9" s="214"/>
      <c r="L9" s="20"/>
      <c r="M9" s="20"/>
      <c r="N9" s="199"/>
    </row>
    <row r="10" spans="1:14" s="21" customFormat="1" ht="18.5" x14ac:dyDescent="0.45">
      <c r="A10" s="49">
        <v>1</v>
      </c>
      <c r="B10" s="151" t="s">
        <v>310</v>
      </c>
      <c r="C10" s="144">
        <v>16</v>
      </c>
      <c r="D10" s="51" t="s">
        <v>12</v>
      </c>
      <c r="E10" s="48">
        <f t="shared" ref="E10:E20" si="1">G10+H10+J10+I10</f>
        <v>193.74625</v>
      </c>
      <c r="F10" s="199">
        <f t="shared" ref="F10:F20" si="2">E10*C10</f>
        <v>3099.94</v>
      </c>
      <c r="G10" s="59">
        <v>53.475000000000001</v>
      </c>
      <c r="H10" s="48">
        <v>115</v>
      </c>
      <c r="I10" s="48">
        <f>IF(D10=0," ",(G10)*([1]Details!$C$4+[1]Details!$C$8))</f>
        <v>8.021250000000002</v>
      </c>
      <c r="J10" s="199">
        <f>IF(D10=0," ",(H10)*([1]Details!$C$6+[1]Details!$C$8))</f>
        <v>17.250000000000004</v>
      </c>
      <c r="K10" s="59">
        <f t="shared" ref="K10:K20" si="3">+G10*C10</f>
        <v>855.6</v>
      </c>
      <c r="L10" s="48">
        <f t="shared" ref="L10:L20" si="4">+H10*C10</f>
        <v>1840</v>
      </c>
      <c r="M10" s="48">
        <f t="shared" ref="M10:M20" si="5">IF(D10=0," ",(I10*C10))</f>
        <v>128.34000000000003</v>
      </c>
      <c r="N10" s="199">
        <f t="shared" ref="N10:N20" si="6">IF(D10=0," ",(J10*C10))</f>
        <v>276.00000000000006</v>
      </c>
    </row>
    <row r="11" spans="1:14" s="21" customFormat="1" ht="18.5" x14ac:dyDescent="0.45">
      <c r="A11" s="49"/>
      <c r="B11" s="151"/>
      <c r="C11" s="144"/>
      <c r="D11" s="51"/>
      <c r="E11" s="48"/>
      <c r="F11" s="199"/>
      <c r="G11" s="59"/>
      <c r="H11" s="48"/>
      <c r="I11" s="48"/>
      <c r="J11" s="199"/>
      <c r="K11" s="59"/>
      <c r="L11" s="48"/>
      <c r="M11" s="48"/>
      <c r="N11" s="199"/>
    </row>
    <row r="12" spans="1:14" s="21" customFormat="1" ht="18.5" x14ac:dyDescent="0.45">
      <c r="A12" s="75">
        <f>IF(F12&lt;&gt;"",(LARGE(A$7:A10,1)+1),"")</f>
        <v>2</v>
      </c>
      <c r="B12" s="151" t="s">
        <v>311</v>
      </c>
      <c r="C12" s="144">
        <v>8</v>
      </c>
      <c r="D12" s="51" t="s">
        <v>12</v>
      </c>
      <c r="E12" s="48">
        <f t="shared" si="1"/>
        <v>198.8005</v>
      </c>
      <c r="F12" s="199">
        <f t="shared" si="2"/>
        <v>1590.404</v>
      </c>
      <c r="G12" s="59">
        <v>54.870000000000005</v>
      </c>
      <c r="H12" s="48">
        <v>118</v>
      </c>
      <c r="I12" s="48">
        <f>IF(D12=0," ",(G12)*([1]Details!$C$4+[1]Details!$C$8))</f>
        <v>8.230500000000001</v>
      </c>
      <c r="J12" s="199">
        <f>IF(D12=0," ",(H12)*([1]Details!$C$6+[1]Details!$C$8))</f>
        <v>17.700000000000003</v>
      </c>
      <c r="K12" s="59">
        <f t="shared" si="3"/>
        <v>438.96000000000004</v>
      </c>
      <c r="L12" s="48">
        <f t="shared" si="4"/>
        <v>944</v>
      </c>
      <c r="M12" s="48">
        <f t="shared" si="5"/>
        <v>65.844000000000008</v>
      </c>
      <c r="N12" s="199">
        <f t="shared" si="6"/>
        <v>141.60000000000002</v>
      </c>
    </row>
    <row r="13" spans="1:14" s="21" customFormat="1" ht="18.5" x14ac:dyDescent="0.45">
      <c r="A13" s="75"/>
      <c r="B13" s="151"/>
      <c r="C13" s="144"/>
      <c r="D13" s="51"/>
      <c r="E13" s="48"/>
      <c r="F13" s="199"/>
      <c r="G13" s="59"/>
      <c r="H13" s="48"/>
      <c r="I13" s="48"/>
      <c r="J13" s="199"/>
      <c r="K13" s="59"/>
      <c r="L13" s="48"/>
      <c r="M13" s="48"/>
      <c r="N13" s="199"/>
    </row>
    <row r="14" spans="1:14" s="21" customFormat="1" ht="18.5" x14ac:dyDescent="0.45">
      <c r="A14" s="75">
        <f>IF(F14&lt;&gt;"",(LARGE(A$7:A12,1)+1),"")</f>
        <v>3</v>
      </c>
      <c r="B14" s="151" t="s">
        <v>401</v>
      </c>
      <c r="C14" s="144">
        <v>179</v>
      </c>
      <c r="D14" s="51" t="s">
        <v>12</v>
      </c>
      <c r="E14" s="48">
        <f t="shared" si="1"/>
        <v>205.53950000000003</v>
      </c>
      <c r="F14" s="199">
        <f t="shared" si="2"/>
        <v>36791.570500000009</v>
      </c>
      <c r="G14" s="59">
        <v>56.730000000000004</v>
      </c>
      <c r="H14" s="48">
        <v>122</v>
      </c>
      <c r="I14" s="48">
        <f>IF(D14=0," ",(G14)*([1]Details!$C$4+[1]Details!$C$8))</f>
        <v>8.5095000000000027</v>
      </c>
      <c r="J14" s="199">
        <f>IF(D14=0," ",(H14)*([1]Details!$C$6+[1]Details!$C$8))</f>
        <v>18.300000000000004</v>
      </c>
      <c r="K14" s="59">
        <f t="shared" si="3"/>
        <v>10154.67</v>
      </c>
      <c r="L14" s="48">
        <f t="shared" si="4"/>
        <v>21838</v>
      </c>
      <c r="M14" s="48">
        <f t="shared" si="5"/>
        <v>1523.2005000000004</v>
      </c>
      <c r="N14" s="199">
        <f t="shared" si="6"/>
        <v>3275.7000000000007</v>
      </c>
    </row>
    <row r="15" spans="1:14" s="21" customFormat="1" ht="18.5" x14ac:dyDescent="0.45">
      <c r="A15" s="75"/>
      <c r="B15" s="151"/>
      <c r="C15" s="144"/>
      <c r="D15" s="51"/>
      <c r="E15" s="48"/>
      <c r="F15" s="199"/>
      <c r="G15" s="59"/>
      <c r="H15" s="48"/>
      <c r="I15" s="48"/>
      <c r="J15" s="199"/>
      <c r="K15" s="59"/>
      <c r="L15" s="48"/>
      <c r="M15" s="48"/>
      <c r="N15" s="199"/>
    </row>
    <row r="16" spans="1:14" s="21" customFormat="1" ht="18.5" x14ac:dyDescent="0.45">
      <c r="A16" s="75">
        <f>IF(F16&lt;&gt;"",(LARGE(A$7:A14,1)+1),"")</f>
        <v>4</v>
      </c>
      <c r="B16" s="151" t="s">
        <v>312</v>
      </c>
      <c r="C16" s="144">
        <v>24</v>
      </c>
      <c r="D16" s="51" t="s">
        <v>12</v>
      </c>
      <c r="E16" s="48">
        <f t="shared" si="1"/>
        <v>192.90387500000003</v>
      </c>
      <c r="F16" s="199">
        <f t="shared" si="2"/>
        <v>4629.6930000000011</v>
      </c>
      <c r="G16" s="59">
        <v>53.2425</v>
      </c>
      <c r="H16" s="48">
        <v>114.5</v>
      </c>
      <c r="I16" s="48">
        <f>IF(D16=0," ",(G16)*([1]Details!$C$4+[1]Details!$C$8))</f>
        <v>7.9863750000000016</v>
      </c>
      <c r="J16" s="199">
        <f>IF(D16=0," ",(H16)*([1]Details!$C$6+[1]Details!$C$8))</f>
        <v>17.175000000000004</v>
      </c>
      <c r="K16" s="59">
        <f t="shared" si="3"/>
        <v>1277.82</v>
      </c>
      <c r="L16" s="48">
        <f t="shared" si="4"/>
        <v>2748</v>
      </c>
      <c r="M16" s="48">
        <f t="shared" si="5"/>
        <v>191.67300000000003</v>
      </c>
      <c r="N16" s="199">
        <f t="shared" si="6"/>
        <v>412.2000000000001</v>
      </c>
    </row>
    <row r="17" spans="1:14" s="21" customFormat="1" ht="18.5" x14ac:dyDescent="0.45">
      <c r="A17" s="75"/>
      <c r="B17" s="151"/>
      <c r="C17" s="144"/>
      <c r="D17" s="51"/>
      <c r="E17" s="48"/>
      <c r="F17" s="199"/>
      <c r="G17" s="59"/>
      <c r="H17" s="48"/>
      <c r="I17" s="48"/>
      <c r="J17" s="199"/>
      <c r="K17" s="59"/>
      <c r="L17" s="48"/>
      <c r="M17" s="48"/>
      <c r="N17" s="199"/>
    </row>
    <row r="18" spans="1:14" s="21" customFormat="1" ht="18.5" x14ac:dyDescent="0.45">
      <c r="A18" s="75">
        <f>IF(F18&lt;&gt;"",(LARGE(A$7:A16,1)+1),"")</f>
        <v>5</v>
      </c>
      <c r="B18" s="151" t="s">
        <v>313</v>
      </c>
      <c r="C18" s="144">
        <v>144.72</v>
      </c>
      <c r="D18" s="51" t="s">
        <v>13</v>
      </c>
      <c r="E18" s="48">
        <f t="shared" si="1"/>
        <v>61.493375</v>
      </c>
      <c r="F18" s="199">
        <f t="shared" si="2"/>
        <v>8899.3212299999996</v>
      </c>
      <c r="G18" s="59">
        <v>16.9725</v>
      </c>
      <c r="H18" s="48">
        <v>36.5</v>
      </c>
      <c r="I18" s="48">
        <f>IF(D18=0," ",(G18)*([1]Details!$C$4+[1]Details!$C$8))</f>
        <v>2.5458750000000006</v>
      </c>
      <c r="J18" s="199">
        <f>IF(D18=0," ",(H18)*([1]Details!$C$6+[1]Details!$C$8))</f>
        <v>5.4750000000000005</v>
      </c>
      <c r="K18" s="59">
        <f t="shared" si="3"/>
        <v>2456.2602000000002</v>
      </c>
      <c r="L18" s="48">
        <f t="shared" si="4"/>
        <v>5282.28</v>
      </c>
      <c r="M18" s="48">
        <f t="shared" si="5"/>
        <v>368.43903000000006</v>
      </c>
      <c r="N18" s="199">
        <f t="shared" si="6"/>
        <v>792.3420000000001</v>
      </c>
    </row>
    <row r="19" spans="1:14" s="21" customFormat="1" ht="18.5" x14ac:dyDescent="0.45">
      <c r="A19" s="75"/>
      <c r="B19" s="151"/>
      <c r="C19" s="144"/>
      <c r="D19" s="51"/>
      <c r="E19" s="48"/>
      <c r="F19" s="199"/>
      <c r="G19" s="59"/>
      <c r="H19" s="48"/>
      <c r="I19" s="48"/>
      <c r="J19" s="199"/>
      <c r="K19" s="59"/>
      <c r="L19" s="48"/>
      <c r="M19" s="48"/>
      <c r="N19" s="199"/>
    </row>
    <row r="20" spans="1:14" s="21" customFormat="1" ht="18.5" x14ac:dyDescent="0.45">
      <c r="A20" s="75">
        <f>IF(F20&lt;&gt;"",(LARGE(A$7:A18,1)+1),"")</f>
        <v>6</v>
      </c>
      <c r="B20" s="151" t="s">
        <v>314</v>
      </c>
      <c r="C20" s="144">
        <v>37.64</v>
      </c>
      <c r="D20" s="51" t="s">
        <v>13</v>
      </c>
      <c r="E20" s="48">
        <f t="shared" si="1"/>
        <v>71.601875000000007</v>
      </c>
      <c r="F20" s="199">
        <f t="shared" si="2"/>
        <v>2695.0945750000001</v>
      </c>
      <c r="G20" s="59">
        <v>19.762499999999999</v>
      </c>
      <c r="H20" s="48">
        <v>42.5</v>
      </c>
      <c r="I20" s="48">
        <f>IF(D20=0," ",(G20)*([1]Details!$C$4+[1]Details!$C$8))</f>
        <v>2.9643750000000004</v>
      </c>
      <c r="J20" s="199">
        <f>IF(D20=0," ",(H20)*([1]Details!$C$6+[1]Details!$C$8))</f>
        <v>6.3750000000000009</v>
      </c>
      <c r="K20" s="59">
        <f t="shared" si="3"/>
        <v>743.8605</v>
      </c>
      <c r="L20" s="48">
        <f t="shared" si="4"/>
        <v>1599.7</v>
      </c>
      <c r="M20" s="48">
        <f t="shared" si="5"/>
        <v>111.57907500000002</v>
      </c>
      <c r="N20" s="199">
        <f t="shared" si="6"/>
        <v>239.95500000000004</v>
      </c>
    </row>
    <row r="21" spans="1:14" s="21" customFormat="1" ht="18.5" x14ac:dyDescent="0.45">
      <c r="A21" s="75" t="str">
        <f>IF(F21&lt;&gt;"",(LARGE(A$7:A19,1)+1),"")</f>
        <v/>
      </c>
      <c r="B21" s="150"/>
      <c r="C21" s="144"/>
      <c r="D21" s="51"/>
      <c r="E21" s="48"/>
      <c r="F21" s="199"/>
      <c r="G21" s="59"/>
      <c r="H21" s="48"/>
      <c r="I21" s="48"/>
      <c r="J21" s="199"/>
      <c r="K21" s="214"/>
      <c r="L21" s="20"/>
      <c r="M21" s="20"/>
      <c r="N21" s="199"/>
    </row>
    <row r="22" spans="1:14" s="21" customFormat="1" ht="18.5" x14ac:dyDescent="0.45">
      <c r="A22" s="75" t="str">
        <f>IF(F22&lt;&gt;"",(LARGE(A$7:A20,1)+1),"")</f>
        <v/>
      </c>
      <c r="B22" s="164" t="s">
        <v>315</v>
      </c>
      <c r="C22" s="144"/>
      <c r="D22" s="51"/>
      <c r="E22" s="48"/>
      <c r="F22" s="199"/>
      <c r="G22" s="59"/>
      <c r="H22" s="48"/>
      <c r="I22" s="48"/>
      <c r="J22" s="199"/>
      <c r="K22" s="214"/>
      <c r="L22" s="20"/>
      <c r="M22" s="20"/>
      <c r="N22" s="199"/>
    </row>
    <row r="23" spans="1:14" s="21" customFormat="1" ht="18.5" x14ac:dyDescent="0.45">
      <c r="A23" s="75" t="str">
        <f>IF(F23&lt;&gt;"",(LARGE(A$7:A21,1)+1),"")</f>
        <v/>
      </c>
      <c r="B23" s="166" t="s">
        <v>316</v>
      </c>
      <c r="C23" s="144"/>
      <c r="D23" s="51"/>
      <c r="E23" s="48"/>
      <c r="F23" s="199"/>
      <c r="G23" s="59"/>
      <c r="H23" s="48"/>
      <c r="I23" s="48"/>
      <c r="J23" s="199"/>
      <c r="K23" s="214"/>
      <c r="L23" s="20"/>
      <c r="M23" s="20"/>
      <c r="N23" s="199"/>
    </row>
    <row r="24" spans="1:14" s="21" customFormat="1" ht="18.5" x14ac:dyDescent="0.45">
      <c r="A24" s="75" t="str">
        <f>IF(F24&lt;&gt;"",(LARGE(A$7:A22,1)+1),"")</f>
        <v/>
      </c>
      <c r="B24" s="150"/>
      <c r="C24" s="144"/>
      <c r="D24" s="51"/>
      <c r="E24" s="48"/>
      <c r="F24" s="199"/>
      <c r="G24" s="59"/>
      <c r="H24" s="48"/>
      <c r="I24" s="48"/>
      <c r="J24" s="199"/>
      <c r="K24" s="214"/>
      <c r="L24" s="20"/>
      <c r="M24" s="20"/>
      <c r="N24" s="199"/>
    </row>
    <row r="25" spans="1:14" s="21" customFormat="1" ht="18.5" x14ac:dyDescent="0.45">
      <c r="A25" s="75">
        <f>IF(F25&lt;&gt;"",(LARGE(A$7:A23,1)+1),"")</f>
        <v>7</v>
      </c>
      <c r="B25" s="151" t="s">
        <v>317</v>
      </c>
      <c r="C25" s="144">
        <v>3</v>
      </c>
      <c r="D25" s="51" t="s">
        <v>12</v>
      </c>
      <c r="E25" s="48">
        <f t="shared" ref="E25:E43" si="7">G25+H25+J25+I25</f>
        <v>24.428875000000001</v>
      </c>
      <c r="F25" s="199">
        <f t="shared" ref="F25:F43" si="8">E25*C25</f>
        <v>73.286625000000001</v>
      </c>
      <c r="G25" s="59">
        <v>6.7425000000000006</v>
      </c>
      <c r="H25" s="48">
        <v>14.5</v>
      </c>
      <c r="I25" s="48">
        <f>IF(D25=0," ",(G25)*([1]Details!$C$4+[1]Details!$C$8))</f>
        <v>1.0113750000000001</v>
      </c>
      <c r="J25" s="199">
        <f>IF(D25=0," ",(H25)*([1]Details!$C$6+[1]Details!$C$8))</f>
        <v>2.1750000000000003</v>
      </c>
      <c r="K25" s="59">
        <f t="shared" ref="K25:K43" si="9">+G25*C25</f>
        <v>20.227500000000003</v>
      </c>
      <c r="L25" s="48">
        <f t="shared" ref="L25:L43" si="10">+H25*C25</f>
        <v>43.5</v>
      </c>
      <c r="M25" s="48">
        <f t="shared" ref="M25:M43" si="11">IF(D25=0," ",(I25*C25))</f>
        <v>3.0341250000000004</v>
      </c>
      <c r="N25" s="199">
        <f t="shared" ref="N25:N43" si="12">IF(D25=0," ",(J25*C25))</f>
        <v>6.5250000000000004</v>
      </c>
    </row>
    <row r="26" spans="1:14" s="21" customFormat="1" ht="18.5" x14ac:dyDescent="0.45">
      <c r="A26" s="75" t="str">
        <f>IF(F26&lt;&gt;"",(LARGE(A$7:A24,1)+1),"")</f>
        <v/>
      </c>
      <c r="B26" s="151"/>
      <c r="C26" s="144"/>
      <c r="D26" s="51"/>
      <c r="E26" s="48"/>
      <c r="F26" s="199"/>
      <c r="G26" s="59"/>
      <c r="H26" s="48"/>
      <c r="I26" s="48"/>
      <c r="J26" s="199"/>
      <c r="K26" s="59"/>
      <c r="L26" s="48"/>
      <c r="M26" s="48"/>
      <c r="N26" s="199"/>
    </row>
    <row r="27" spans="1:14" s="21" customFormat="1" ht="18.5" x14ac:dyDescent="0.45">
      <c r="A27" s="75">
        <f>IF(F27&lt;&gt;"",(LARGE(A$7:A25,1)+1),"")</f>
        <v>8</v>
      </c>
      <c r="B27" s="151" t="s">
        <v>318</v>
      </c>
      <c r="C27" s="144">
        <v>10</v>
      </c>
      <c r="D27" s="51" t="s">
        <v>12</v>
      </c>
      <c r="E27" s="48">
        <f t="shared" si="7"/>
        <v>27.798375</v>
      </c>
      <c r="F27" s="199">
        <f t="shared" si="8"/>
        <v>277.98374999999999</v>
      </c>
      <c r="G27" s="59">
        <v>7.6725000000000003</v>
      </c>
      <c r="H27" s="48">
        <v>16.5</v>
      </c>
      <c r="I27" s="48">
        <f>IF(D27=0," ",(G27)*([1]Details!$C$4+[1]Details!$C$8))</f>
        <v>1.1508750000000003</v>
      </c>
      <c r="J27" s="199">
        <f>IF(D27=0," ",(H27)*([1]Details!$C$6+[1]Details!$C$8))</f>
        <v>2.4750000000000005</v>
      </c>
      <c r="K27" s="59">
        <f t="shared" si="9"/>
        <v>76.725000000000009</v>
      </c>
      <c r="L27" s="48">
        <f t="shared" si="10"/>
        <v>165</v>
      </c>
      <c r="M27" s="48">
        <f t="shared" si="11"/>
        <v>11.508750000000003</v>
      </c>
      <c r="N27" s="199">
        <f t="shared" si="12"/>
        <v>24.750000000000007</v>
      </c>
    </row>
    <row r="28" spans="1:14" s="21" customFormat="1" ht="18.5" x14ac:dyDescent="0.45">
      <c r="A28" s="75" t="str">
        <f>IF(F28&lt;&gt;"",(LARGE(A$7:A26,1)+1),"")</f>
        <v/>
      </c>
      <c r="B28" s="151"/>
      <c r="C28" s="144"/>
      <c r="D28" s="51"/>
      <c r="E28" s="48"/>
      <c r="F28" s="199"/>
      <c r="G28" s="59"/>
      <c r="H28" s="48"/>
      <c r="I28" s="48"/>
      <c r="J28" s="199"/>
      <c r="K28" s="59"/>
      <c r="L28" s="48"/>
      <c r="M28" s="48"/>
      <c r="N28" s="199"/>
    </row>
    <row r="29" spans="1:14" s="21" customFormat="1" ht="18.5" x14ac:dyDescent="0.45">
      <c r="A29" s="75">
        <f>IF(F29&lt;&gt;"",(LARGE(A$7:A27,1)+1),"")</f>
        <v>9</v>
      </c>
      <c r="B29" s="151" t="s">
        <v>319</v>
      </c>
      <c r="C29" s="144">
        <v>4</v>
      </c>
      <c r="D29" s="51" t="s">
        <v>12</v>
      </c>
      <c r="E29" s="48">
        <f t="shared" si="7"/>
        <v>29.483125000000005</v>
      </c>
      <c r="F29" s="199">
        <f t="shared" si="8"/>
        <v>117.93250000000002</v>
      </c>
      <c r="G29" s="59">
        <v>8.1375000000000011</v>
      </c>
      <c r="H29" s="48">
        <v>17.5</v>
      </c>
      <c r="I29" s="48">
        <f>IF(D29=0," ",(G29)*([1]Details!$C$4+[1]Details!$C$8))</f>
        <v>1.2206250000000003</v>
      </c>
      <c r="J29" s="199">
        <f>IF(D29=0," ",(H29)*([1]Details!$C$6+[1]Details!$C$8))</f>
        <v>2.6250000000000004</v>
      </c>
      <c r="K29" s="59">
        <f t="shared" si="9"/>
        <v>32.550000000000004</v>
      </c>
      <c r="L29" s="48">
        <f t="shared" si="10"/>
        <v>70</v>
      </c>
      <c r="M29" s="48">
        <f t="shared" si="11"/>
        <v>4.8825000000000012</v>
      </c>
      <c r="N29" s="199">
        <f t="shared" si="12"/>
        <v>10.500000000000002</v>
      </c>
    </row>
    <row r="30" spans="1:14" s="21" customFormat="1" ht="18.5" x14ac:dyDescent="0.45">
      <c r="A30" s="75" t="str">
        <f>IF(F30&lt;&gt;"",(LARGE(A$7:A28,1)+1),"")</f>
        <v/>
      </c>
      <c r="B30" s="151"/>
      <c r="C30" s="144"/>
      <c r="D30" s="51"/>
      <c r="E30" s="48"/>
      <c r="F30" s="199"/>
      <c r="G30" s="59"/>
      <c r="H30" s="48"/>
      <c r="I30" s="48"/>
      <c r="J30" s="199"/>
      <c r="K30" s="59"/>
      <c r="L30" s="48"/>
      <c r="M30" s="48"/>
      <c r="N30" s="199"/>
    </row>
    <row r="31" spans="1:14" s="21" customFormat="1" ht="18.5" x14ac:dyDescent="0.45">
      <c r="A31" s="75">
        <f>IF(F31&lt;&gt;"",(LARGE(A$7:A29,1)+1),"")</f>
        <v>10</v>
      </c>
      <c r="B31" s="151" t="s">
        <v>320</v>
      </c>
      <c r="C31" s="144">
        <v>2</v>
      </c>
      <c r="D31" s="51" t="s">
        <v>12</v>
      </c>
      <c r="E31" s="48">
        <f t="shared" si="7"/>
        <v>36.222125000000005</v>
      </c>
      <c r="F31" s="199">
        <f t="shared" si="8"/>
        <v>72.444250000000011</v>
      </c>
      <c r="G31" s="59">
        <v>9.9975000000000005</v>
      </c>
      <c r="H31" s="48">
        <v>21.5</v>
      </c>
      <c r="I31" s="48">
        <f>IF(D31=0," ",(G31)*([1]Details!$C$4+[1]Details!$C$8))</f>
        <v>1.4996250000000002</v>
      </c>
      <c r="J31" s="199">
        <f>IF(D31=0," ",(H31)*([1]Details!$C$6+[1]Details!$C$8))</f>
        <v>3.2250000000000005</v>
      </c>
      <c r="K31" s="59">
        <f t="shared" si="9"/>
        <v>19.995000000000001</v>
      </c>
      <c r="L31" s="48">
        <f t="shared" si="10"/>
        <v>43</v>
      </c>
      <c r="M31" s="48">
        <f t="shared" si="11"/>
        <v>2.9992500000000004</v>
      </c>
      <c r="N31" s="199">
        <f t="shared" si="12"/>
        <v>6.4500000000000011</v>
      </c>
    </row>
    <row r="32" spans="1:14" s="21" customFormat="1" ht="18.5" x14ac:dyDescent="0.45">
      <c r="A32" s="75" t="str">
        <f>IF(F32&lt;&gt;"",(LARGE(A$7:A30,1)+1),"")</f>
        <v/>
      </c>
      <c r="B32" s="151"/>
      <c r="C32" s="144"/>
      <c r="D32" s="51"/>
      <c r="E32" s="48"/>
      <c r="F32" s="199"/>
      <c r="G32" s="59"/>
      <c r="H32" s="48"/>
      <c r="I32" s="48"/>
      <c r="J32" s="199"/>
      <c r="K32" s="59"/>
      <c r="L32" s="48"/>
      <c r="M32" s="48"/>
      <c r="N32" s="199"/>
    </row>
    <row r="33" spans="1:14" s="21" customFormat="1" ht="18.5" x14ac:dyDescent="0.45">
      <c r="A33" s="75">
        <f>IF(F33&lt;&gt;"",(LARGE(A$7:A31,1)+1),"")</f>
        <v>11</v>
      </c>
      <c r="B33" s="151" t="s">
        <v>321</v>
      </c>
      <c r="C33" s="144">
        <v>2</v>
      </c>
      <c r="D33" s="51" t="s">
        <v>12</v>
      </c>
      <c r="E33" s="48">
        <f t="shared" si="7"/>
        <v>32.852625000000003</v>
      </c>
      <c r="F33" s="199">
        <f t="shared" si="8"/>
        <v>65.705250000000007</v>
      </c>
      <c r="G33" s="59">
        <v>9.0675000000000008</v>
      </c>
      <c r="H33" s="48">
        <v>19.5</v>
      </c>
      <c r="I33" s="48">
        <f>IF(D33=0," ",(G33)*([1]Details!$C$4+[1]Details!$C$8))</f>
        <v>1.3601250000000003</v>
      </c>
      <c r="J33" s="199">
        <f>IF(D33=0," ",(H33)*([1]Details!$C$6+[1]Details!$C$8))</f>
        <v>2.9250000000000003</v>
      </c>
      <c r="K33" s="59">
        <f t="shared" si="9"/>
        <v>18.135000000000002</v>
      </c>
      <c r="L33" s="48">
        <f t="shared" si="10"/>
        <v>39</v>
      </c>
      <c r="M33" s="48">
        <f t="shared" si="11"/>
        <v>2.7202500000000005</v>
      </c>
      <c r="N33" s="199">
        <f t="shared" si="12"/>
        <v>5.8500000000000005</v>
      </c>
    </row>
    <row r="34" spans="1:14" s="21" customFormat="1" ht="18.5" x14ac:dyDescent="0.45">
      <c r="A34" s="75" t="str">
        <f>IF(F34&lt;&gt;"",(LARGE(A$7:A32,1)+1),"")</f>
        <v/>
      </c>
      <c r="B34" s="151"/>
      <c r="C34" s="144"/>
      <c r="D34" s="51"/>
      <c r="E34" s="48"/>
      <c r="F34" s="199"/>
      <c r="G34" s="59"/>
      <c r="H34" s="48"/>
      <c r="I34" s="48"/>
      <c r="J34" s="199"/>
      <c r="K34" s="59"/>
      <c r="L34" s="48"/>
      <c r="M34" s="48"/>
      <c r="N34" s="199"/>
    </row>
    <row r="35" spans="1:14" s="21" customFormat="1" ht="18.5" x14ac:dyDescent="0.45">
      <c r="A35" s="75">
        <f>IF(F35&lt;&gt;"",(LARGE(A$7:A33,1)+1),"")</f>
        <v>12</v>
      </c>
      <c r="B35" s="151" t="s">
        <v>322</v>
      </c>
      <c r="C35" s="144">
        <v>1</v>
      </c>
      <c r="D35" s="51" t="s">
        <v>12</v>
      </c>
      <c r="E35" s="48">
        <f t="shared" si="7"/>
        <v>39.591625000000001</v>
      </c>
      <c r="F35" s="199">
        <f t="shared" si="8"/>
        <v>39.591625000000001</v>
      </c>
      <c r="G35" s="59">
        <v>10.9275</v>
      </c>
      <c r="H35" s="48">
        <v>23.5</v>
      </c>
      <c r="I35" s="48">
        <f>IF(D35=0," ",(G35)*([1]Details!$C$4+[1]Details!$C$8))</f>
        <v>1.6391250000000002</v>
      </c>
      <c r="J35" s="199">
        <f>IF(D35=0," ",(H35)*([1]Details!$C$6+[1]Details!$C$8))</f>
        <v>3.5250000000000004</v>
      </c>
      <c r="K35" s="59">
        <f t="shared" si="9"/>
        <v>10.9275</v>
      </c>
      <c r="L35" s="48">
        <f t="shared" si="10"/>
        <v>23.5</v>
      </c>
      <c r="M35" s="48">
        <f t="shared" si="11"/>
        <v>1.6391250000000002</v>
      </c>
      <c r="N35" s="199">
        <f t="shared" si="12"/>
        <v>3.5250000000000004</v>
      </c>
    </row>
    <row r="36" spans="1:14" s="21" customFormat="1" ht="18.5" x14ac:dyDescent="0.45">
      <c r="A36" s="75" t="str">
        <f>IF(F36&lt;&gt;"",(LARGE(A$7:A34,1)+1),"")</f>
        <v/>
      </c>
      <c r="B36" s="151"/>
      <c r="C36" s="144"/>
      <c r="D36" s="51"/>
      <c r="E36" s="48"/>
      <c r="F36" s="199"/>
      <c r="G36" s="59"/>
      <c r="H36" s="48"/>
      <c r="I36" s="48"/>
      <c r="J36" s="199"/>
      <c r="K36" s="59"/>
      <c r="L36" s="48"/>
      <c r="M36" s="48"/>
      <c r="N36" s="199"/>
    </row>
    <row r="37" spans="1:14" s="21" customFormat="1" ht="18.5" x14ac:dyDescent="0.45">
      <c r="A37" s="75">
        <f>IF(F37&lt;&gt;"",(LARGE(A$7:A35,1)+1),"")</f>
        <v>13</v>
      </c>
      <c r="B37" s="151" t="s">
        <v>323</v>
      </c>
      <c r="C37" s="144">
        <v>1</v>
      </c>
      <c r="D37" s="51" t="s">
        <v>12</v>
      </c>
      <c r="E37" s="48">
        <f t="shared" si="7"/>
        <v>31.167874999999999</v>
      </c>
      <c r="F37" s="199">
        <f t="shared" si="8"/>
        <v>31.167874999999999</v>
      </c>
      <c r="G37" s="59">
        <v>8.6025000000000009</v>
      </c>
      <c r="H37" s="48">
        <v>18.5</v>
      </c>
      <c r="I37" s="48">
        <f>IF(D37=0," ",(G37)*([1]Details!$C$4+[1]Details!$C$8))</f>
        <v>1.2903750000000003</v>
      </c>
      <c r="J37" s="199">
        <f>IF(D37=0," ",(H37)*([1]Details!$C$6+[1]Details!$C$8))</f>
        <v>2.7750000000000004</v>
      </c>
      <c r="K37" s="59">
        <f t="shared" si="9"/>
        <v>8.6025000000000009</v>
      </c>
      <c r="L37" s="48">
        <f t="shared" si="10"/>
        <v>18.5</v>
      </c>
      <c r="M37" s="48">
        <f t="shared" si="11"/>
        <v>1.2903750000000003</v>
      </c>
      <c r="N37" s="199">
        <f t="shared" si="12"/>
        <v>2.7750000000000004</v>
      </c>
    </row>
    <row r="38" spans="1:14" s="21" customFormat="1" ht="18.5" x14ac:dyDescent="0.45">
      <c r="A38" s="75" t="str">
        <f>IF(F38&lt;&gt;"",(LARGE(A$7:A36,1)+1),"")</f>
        <v/>
      </c>
      <c r="B38" s="151"/>
      <c r="C38" s="144"/>
      <c r="D38" s="51"/>
      <c r="E38" s="48"/>
      <c r="F38" s="199"/>
      <c r="G38" s="59"/>
      <c r="H38" s="48"/>
      <c r="I38" s="48"/>
      <c r="J38" s="199"/>
      <c r="K38" s="59"/>
      <c r="L38" s="48"/>
      <c r="M38" s="48"/>
      <c r="N38" s="199"/>
    </row>
    <row r="39" spans="1:14" s="21" customFormat="1" ht="18.5" x14ac:dyDescent="0.45">
      <c r="A39" s="75">
        <f>IF(F39&lt;&gt;"",(LARGE(A$7:A37,1)+1),"")</f>
        <v>14</v>
      </c>
      <c r="B39" s="151" t="s">
        <v>324</v>
      </c>
      <c r="C39" s="144">
        <v>1</v>
      </c>
      <c r="D39" s="51" t="s">
        <v>12</v>
      </c>
      <c r="E39" s="48">
        <f t="shared" si="7"/>
        <v>31.757537500000005</v>
      </c>
      <c r="F39" s="199">
        <f t="shared" si="8"/>
        <v>31.757537500000005</v>
      </c>
      <c r="G39" s="59">
        <v>8.7652500000000018</v>
      </c>
      <c r="H39" s="48">
        <v>18.850000000000001</v>
      </c>
      <c r="I39" s="48">
        <f>IF(D39=0," ",(G39)*([1]Details!$C$4+[1]Details!$C$8))</f>
        <v>1.3147875000000004</v>
      </c>
      <c r="J39" s="199">
        <f>IF(D39=0," ",(H39)*([1]Details!$C$6+[1]Details!$C$8))</f>
        <v>2.8275000000000006</v>
      </c>
      <c r="K39" s="59">
        <f t="shared" si="9"/>
        <v>8.7652500000000018</v>
      </c>
      <c r="L39" s="48">
        <f t="shared" si="10"/>
        <v>18.850000000000001</v>
      </c>
      <c r="M39" s="48">
        <f t="shared" si="11"/>
        <v>1.3147875000000004</v>
      </c>
      <c r="N39" s="199">
        <f t="shared" si="12"/>
        <v>2.8275000000000006</v>
      </c>
    </row>
    <row r="40" spans="1:14" s="21" customFormat="1" ht="18.5" x14ac:dyDescent="0.45">
      <c r="A40" s="75" t="str">
        <f>IF(F40&lt;&gt;"",(LARGE(A$7:A38,1)+1),"")</f>
        <v/>
      </c>
      <c r="B40" s="151"/>
      <c r="C40" s="144"/>
      <c r="D40" s="51"/>
      <c r="E40" s="48"/>
      <c r="F40" s="199"/>
      <c r="G40" s="59"/>
      <c r="H40" s="48"/>
      <c r="I40" s="48"/>
      <c r="J40" s="199"/>
      <c r="K40" s="59"/>
      <c r="L40" s="48"/>
      <c r="M40" s="48"/>
      <c r="N40" s="199"/>
    </row>
    <row r="41" spans="1:14" s="21" customFormat="1" ht="18.5" x14ac:dyDescent="0.45">
      <c r="A41" s="75">
        <f>IF(F41&lt;&gt;"",(LARGE(A$7:A39,1)+1),"")</f>
        <v>15</v>
      </c>
      <c r="B41" s="151" t="s">
        <v>325</v>
      </c>
      <c r="C41" s="144">
        <v>12</v>
      </c>
      <c r="D41" s="51" t="s">
        <v>12</v>
      </c>
      <c r="E41" s="48">
        <f t="shared" si="7"/>
        <v>27.798375</v>
      </c>
      <c r="F41" s="199">
        <f t="shared" si="8"/>
        <v>333.58050000000003</v>
      </c>
      <c r="G41" s="59">
        <v>7.6725000000000003</v>
      </c>
      <c r="H41" s="48">
        <v>16.5</v>
      </c>
      <c r="I41" s="48">
        <f>IF(D41=0," ",(G41)*([1]Details!$C$4+[1]Details!$C$8))</f>
        <v>1.1508750000000003</v>
      </c>
      <c r="J41" s="199">
        <f>IF(D41=0," ",(H41)*([1]Details!$C$6+[1]Details!$C$8))</f>
        <v>2.4750000000000005</v>
      </c>
      <c r="K41" s="59">
        <f t="shared" si="9"/>
        <v>92.070000000000007</v>
      </c>
      <c r="L41" s="48">
        <f t="shared" si="10"/>
        <v>198</v>
      </c>
      <c r="M41" s="48">
        <f t="shared" si="11"/>
        <v>13.810500000000005</v>
      </c>
      <c r="N41" s="199">
        <f t="shared" si="12"/>
        <v>29.700000000000006</v>
      </c>
    </row>
    <row r="42" spans="1:14" s="21" customFormat="1" ht="18.5" x14ac:dyDescent="0.45">
      <c r="A42" s="75" t="str">
        <f>IF(F42&lt;&gt;"",(LARGE(A$7:A40,1)+1),"")</f>
        <v/>
      </c>
      <c r="B42" s="151"/>
      <c r="C42" s="144"/>
      <c r="D42" s="51"/>
      <c r="E42" s="48"/>
      <c r="F42" s="199"/>
      <c r="G42" s="59"/>
      <c r="H42" s="48"/>
      <c r="I42" s="48"/>
      <c r="J42" s="199"/>
      <c r="K42" s="59"/>
      <c r="L42" s="48"/>
      <c r="M42" s="48"/>
      <c r="N42" s="199"/>
    </row>
    <row r="43" spans="1:14" s="21" customFormat="1" ht="18.5" x14ac:dyDescent="0.45">
      <c r="A43" s="75">
        <f>IF(F43&lt;&gt;"",(LARGE(A$7:A41,1)+1),"")</f>
        <v>16</v>
      </c>
      <c r="B43" s="151" t="s">
        <v>326</v>
      </c>
      <c r="C43" s="144">
        <v>2</v>
      </c>
      <c r="D43" s="51" t="s">
        <v>12</v>
      </c>
      <c r="E43" s="48">
        <f t="shared" si="7"/>
        <v>41.276374999999994</v>
      </c>
      <c r="F43" s="199">
        <f t="shared" si="8"/>
        <v>82.552749999999989</v>
      </c>
      <c r="G43" s="59">
        <v>11.3925</v>
      </c>
      <c r="H43" s="48">
        <v>24.5</v>
      </c>
      <c r="I43" s="48">
        <f>IF(D43=0," ",(G43)*([1]Details!$C$4+[1]Details!$C$8))</f>
        <v>1.7088750000000004</v>
      </c>
      <c r="J43" s="199">
        <f>IF(D43=0," ",(H43)*([1]Details!$C$6+[1]Details!$C$8))</f>
        <v>3.6750000000000007</v>
      </c>
      <c r="K43" s="59">
        <f t="shared" si="9"/>
        <v>22.785</v>
      </c>
      <c r="L43" s="48">
        <f t="shared" si="10"/>
        <v>49</v>
      </c>
      <c r="M43" s="48">
        <f t="shared" si="11"/>
        <v>3.4177500000000007</v>
      </c>
      <c r="N43" s="199">
        <f t="shared" si="12"/>
        <v>7.3500000000000014</v>
      </c>
    </row>
    <row r="44" spans="1:14" s="21" customFormat="1" ht="18.5" x14ac:dyDescent="0.45">
      <c r="A44" s="75" t="str">
        <f>IF(F44&lt;&gt;"",(LARGE(A$7:A42,1)+1),"")</f>
        <v/>
      </c>
      <c r="B44" s="150"/>
      <c r="C44" s="144"/>
      <c r="D44" s="51"/>
      <c r="E44" s="48"/>
      <c r="F44" s="199"/>
      <c r="G44" s="59"/>
      <c r="H44" s="48"/>
      <c r="I44" s="48"/>
      <c r="J44" s="199"/>
      <c r="K44" s="214"/>
      <c r="L44" s="20"/>
      <c r="M44" s="20"/>
      <c r="N44" s="199"/>
    </row>
    <row r="45" spans="1:14" s="21" customFormat="1" ht="18.5" x14ac:dyDescent="0.45">
      <c r="A45" s="75" t="str">
        <f>IF(F45&lt;&gt;"",(LARGE(A$7:A43,1)+1),"")</f>
        <v/>
      </c>
      <c r="B45" s="166" t="s">
        <v>327</v>
      </c>
      <c r="C45" s="144"/>
      <c r="D45" s="51"/>
      <c r="E45" s="48"/>
      <c r="F45" s="199"/>
      <c r="G45" s="59"/>
      <c r="H45" s="48"/>
      <c r="I45" s="48"/>
      <c r="J45" s="199"/>
      <c r="K45" s="214"/>
      <c r="L45" s="20"/>
      <c r="M45" s="20"/>
      <c r="N45" s="199"/>
    </row>
    <row r="46" spans="1:14" s="21" customFormat="1" ht="18.5" x14ac:dyDescent="0.45">
      <c r="A46" s="75" t="str">
        <f>IF(F46&lt;&gt;"",(LARGE(A$7:A44,1)+1),"")</f>
        <v/>
      </c>
      <c r="B46" s="150"/>
      <c r="C46" s="144"/>
      <c r="D46" s="51"/>
      <c r="E46" s="48"/>
      <c r="F46" s="199"/>
      <c r="G46" s="59"/>
      <c r="H46" s="48"/>
      <c r="I46" s="48"/>
      <c r="J46" s="199"/>
      <c r="K46" s="214"/>
      <c r="L46" s="20"/>
      <c r="M46" s="20"/>
      <c r="N46" s="199"/>
    </row>
    <row r="47" spans="1:14" s="21" customFormat="1" ht="18.5" x14ac:dyDescent="0.45">
      <c r="A47" s="75">
        <f>IF(F47&lt;&gt;"",(LARGE(A$7:A45,1)+1),"")</f>
        <v>17</v>
      </c>
      <c r="B47" s="151" t="s">
        <v>328</v>
      </c>
      <c r="C47" s="144">
        <v>42</v>
      </c>
      <c r="D47" s="51" t="s">
        <v>12</v>
      </c>
      <c r="E47" s="48">
        <f t="shared" ref="E47:E55" si="13">G47+H47+J47+I47</f>
        <v>25.018537500000001</v>
      </c>
      <c r="F47" s="199">
        <f t="shared" ref="F47:F55" si="14">E47*C47</f>
        <v>1050.778575</v>
      </c>
      <c r="G47" s="59">
        <v>6.9052500000000006</v>
      </c>
      <c r="H47" s="48">
        <v>14.85</v>
      </c>
      <c r="I47" s="48">
        <f>IF(D47=0," ",(G47)*([1]Details!$C$4+[1]Details!$C$8))</f>
        <v>1.0357875000000003</v>
      </c>
      <c r="J47" s="199">
        <f>IF(D47=0," ",(H47)*([1]Details!$C$6+[1]Details!$C$8))</f>
        <v>2.2275000000000005</v>
      </c>
      <c r="K47" s="59">
        <f t="shared" ref="K47:K55" si="15">+G47*C47</f>
        <v>290.02050000000003</v>
      </c>
      <c r="L47" s="48">
        <f t="shared" ref="L47:L55" si="16">+H47*C47</f>
        <v>623.69999999999993</v>
      </c>
      <c r="M47" s="48">
        <f t="shared" ref="M47:M55" si="17">IF(D47=0," ",(I47*C47))</f>
        <v>43.50307500000001</v>
      </c>
      <c r="N47" s="199">
        <f t="shared" ref="N47:N55" si="18">IF(D47=0," ",(J47*C47))</f>
        <v>93.555000000000021</v>
      </c>
    </row>
    <row r="48" spans="1:14" s="21" customFormat="1" ht="18.5" x14ac:dyDescent="0.45">
      <c r="A48" s="75" t="str">
        <f>IF(F48&lt;&gt;"",(LARGE(A$7:A46,1)+1),"")</f>
        <v/>
      </c>
      <c r="B48" s="151"/>
      <c r="C48" s="144"/>
      <c r="D48" s="51"/>
      <c r="E48" s="48"/>
      <c r="F48" s="199"/>
      <c r="G48" s="59"/>
      <c r="H48" s="48"/>
      <c r="I48" s="48"/>
      <c r="J48" s="199"/>
      <c r="K48" s="59"/>
      <c r="L48" s="48"/>
      <c r="M48" s="48"/>
      <c r="N48" s="199"/>
    </row>
    <row r="49" spans="1:14" s="21" customFormat="1" ht="18.5" x14ac:dyDescent="0.45">
      <c r="A49" s="75">
        <f>IF(F49&lt;&gt;"",(LARGE(A$7:A47,1)+1),"")</f>
        <v>18</v>
      </c>
      <c r="B49" s="151" t="s">
        <v>329</v>
      </c>
      <c r="C49" s="144">
        <v>87</v>
      </c>
      <c r="D49" s="51" t="s">
        <v>12</v>
      </c>
      <c r="E49" s="48">
        <f t="shared" si="13"/>
        <v>26.3663375</v>
      </c>
      <c r="F49" s="199">
        <f t="shared" si="14"/>
        <v>2293.8713625</v>
      </c>
      <c r="G49" s="59">
        <v>7.2772500000000004</v>
      </c>
      <c r="H49" s="48">
        <v>15.65</v>
      </c>
      <c r="I49" s="48">
        <f>IF(D49=0," ",(G49)*([1]Details!$C$4+[1]Details!$C$8))</f>
        <v>1.0915875000000002</v>
      </c>
      <c r="J49" s="199">
        <f>IF(D49=0," ",(H49)*([1]Details!$C$6+[1]Details!$C$8))</f>
        <v>2.3475000000000006</v>
      </c>
      <c r="K49" s="59">
        <f t="shared" si="15"/>
        <v>633.12075000000004</v>
      </c>
      <c r="L49" s="48">
        <f t="shared" si="16"/>
        <v>1361.55</v>
      </c>
      <c r="M49" s="48">
        <f t="shared" si="17"/>
        <v>94.968112500000018</v>
      </c>
      <c r="N49" s="199">
        <f t="shared" si="18"/>
        <v>204.23250000000004</v>
      </c>
    </row>
    <row r="50" spans="1:14" s="21" customFormat="1" ht="18.5" x14ac:dyDescent="0.45">
      <c r="A50" s="75" t="str">
        <f>IF(F50&lt;&gt;"",(LARGE(A$7:A48,1)+1),"")</f>
        <v/>
      </c>
      <c r="B50" s="151"/>
      <c r="C50" s="144"/>
      <c r="D50" s="51"/>
      <c r="E50" s="48"/>
      <c r="F50" s="199"/>
      <c r="G50" s="59"/>
      <c r="H50" s="48"/>
      <c r="I50" s="48"/>
      <c r="J50" s="199"/>
      <c r="K50" s="59"/>
      <c r="L50" s="48"/>
      <c r="M50" s="48"/>
      <c r="N50" s="199"/>
    </row>
    <row r="51" spans="1:14" s="21" customFormat="1" ht="18.5" x14ac:dyDescent="0.45">
      <c r="A51" s="75">
        <f>IF(F51&lt;&gt;"",(LARGE(A$7:A49,1)+1),"")</f>
        <v>19</v>
      </c>
      <c r="B51" s="151" t="s">
        <v>330</v>
      </c>
      <c r="C51" s="144">
        <v>9</v>
      </c>
      <c r="D51" s="51" t="s">
        <v>12</v>
      </c>
      <c r="E51" s="48">
        <f t="shared" si="13"/>
        <v>39.591625000000001</v>
      </c>
      <c r="F51" s="199">
        <f t="shared" si="14"/>
        <v>356.32462500000003</v>
      </c>
      <c r="G51" s="59">
        <v>10.9275</v>
      </c>
      <c r="H51" s="48">
        <v>23.5</v>
      </c>
      <c r="I51" s="48">
        <f>IF(D51=0," ",(G51)*([1]Details!$C$4+[1]Details!$C$8))</f>
        <v>1.6391250000000002</v>
      </c>
      <c r="J51" s="199">
        <f>IF(D51=0," ",(H51)*([1]Details!$C$6+[1]Details!$C$8))</f>
        <v>3.5250000000000004</v>
      </c>
      <c r="K51" s="59">
        <f t="shared" si="15"/>
        <v>98.347499999999997</v>
      </c>
      <c r="L51" s="48">
        <f t="shared" si="16"/>
        <v>211.5</v>
      </c>
      <c r="M51" s="48">
        <f t="shared" si="17"/>
        <v>14.752125000000001</v>
      </c>
      <c r="N51" s="199">
        <f t="shared" si="18"/>
        <v>31.725000000000001</v>
      </c>
    </row>
    <row r="52" spans="1:14" s="21" customFormat="1" ht="18.5" x14ac:dyDescent="0.45">
      <c r="A52" s="75" t="str">
        <f>IF(F52&lt;&gt;"",(LARGE(A$7:A50,1)+1),"")</f>
        <v/>
      </c>
      <c r="B52" s="151"/>
      <c r="C52" s="144"/>
      <c r="D52" s="51"/>
      <c r="E52" s="48"/>
      <c r="F52" s="199"/>
      <c r="G52" s="59"/>
      <c r="H52" s="48"/>
      <c r="I52" s="48"/>
      <c r="J52" s="199"/>
      <c r="K52" s="59"/>
      <c r="L52" s="48"/>
      <c r="M52" s="48"/>
      <c r="N52" s="199"/>
    </row>
    <row r="53" spans="1:14" s="21" customFormat="1" ht="18.5" x14ac:dyDescent="0.45">
      <c r="A53" s="75">
        <f>IF(F53&lt;&gt;"",(LARGE(A$7:A51,1)+1),"")</f>
        <v>20</v>
      </c>
      <c r="B53" s="151" t="s">
        <v>331</v>
      </c>
      <c r="C53" s="144">
        <v>26</v>
      </c>
      <c r="D53" s="51" t="s">
        <v>12</v>
      </c>
      <c r="E53" s="48">
        <f t="shared" si="13"/>
        <v>27.7141375</v>
      </c>
      <c r="F53" s="199">
        <f t="shared" si="14"/>
        <v>720.56757500000003</v>
      </c>
      <c r="G53" s="59">
        <v>7.6492500000000003</v>
      </c>
      <c r="H53" s="48">
        <v>16.45</v>
      </c>
      <c r="I53" s="48">
        <f>IF(D53=0," ",(G53)*([1]Details!$C$4+[1]Details!$C$8))</f>
        <v>1.1473875000000002</v>
      </c>
      <c r="J53" s="199">
        <f>IF(D53=0," ",(H53)*([1]Details!$C$6+[1]Details!$C$8))</f>
        <v>2.4675000000000002</v>
      </c>
      <c r="K53" s="59">
        <f t="shared" si="15"/>
        <v>198.88050000000001</v>
      </c>
      <c r="L53" s="48">
        <f t="shared" si="16"/>
        <v>427.7</v>
      </c>
      <c r="M53" s="48">
        <f t="shared" si="17"/>
        <v>29.832075000000007</v>
      </c>
      <c r="N53" s="199">
        <f t="shared" si="18"/>
        <v>64.155000000000001</v>
      </c>
    </row>
    <row r="54" spans="1:14" s="21" customFormat="1" ht="18.5" x14ac:dyDescent="0.45">
      <c r="A54" s="75" t="str">
        <f>IF(F54&lt;&gt;"",(LARGE(A$7:A52,1)+1),"")</f>
        <v/>
      </c>
      <c r="B54" s="151"/>
      <c r="C54" s="144"/>
      <c r="D54" s="51"/>
      <c r="E54" s="48"/>
      <c r="F54" s="199"/>
      <c r="G54" s="59"/>
      <c r="H54" s="48"/>
      <c r="I54" s="48"/>
      <c r="J54" s="199"/>
      <c r="K54" s="59"/>
      <c r="L54" s="48"/>
      <c r="M54" s="48"/>
      <c r="N54" s="199"/>
    </row>
    <row r="55" spans="1:14" s="21" customFormat="1" ht="18.5" x14ac:dyDescent="0.45">
      <c r="A55" s="75">
        <f>IF(F55&lt;&gt;"",(LARGE(A$7:A53,1)+1),"")</f>
        <v>21</v>
      </c>
      <c r="B55" s="151" t="s">
        <v>332</v>
      </c>
      <c r="C55" s="144">
        <v>9</v>
      </c>
      <c r="D55" s="51" t="s">
        <v>12</v>
      </c>
      <c r="E55" s="48">
        <f t="shared" si="13"/>
        <v>39.591625000000001</v>
      </c>
      <c r="F55" s="199">
        <f t="shared" si="14"/>
        <v>356.32462500000003</v>
      </c>
      <c r="G55" s="59">
        <v>10.9275</v>
      </c>
      <c r="H55" s="48">
        <v>23.5</v>
      </c>
      <c r="I55" s="48">
        <f>IF(D55=0," ",(G55)*([1]Details!$C$4+[1]Details!$C$8))</f>
        <v>1.6391250000000002</v>
      </c>
      <c r="J55" s="199">
        <f>IF(D55=0," ",(H55)*([1]Details!$C$6+[1]Details!$C$8))</f>
        <v>3.5250000000000004</v>
      </c>
      <c r="K55" s="59">
        <f t="shared" si="15"/>
        <v>98.347499999999997</v>
      </c>
      <c r="L55" s="48">
        <f t="shared" si="16"/>
        <v>211.5</v>
      </c>
      <c r="M55" s="48">
        <f t="shared" si="17"/>
        <v>14.752125000000001</v>
      </c>
      <c r="N55" s="199">
        <f t="shared" si="18"/>
        <v>31.725000000000001</v>
      </c>
    </row>
    <row r="56" spans="1:14" s="21" customFormat="1" ht="18.5" x14ac:dyDescent="0.45">
      <c r="A56" s="75" t="str">
        <f>IF(F56&lt;&gt;"",(LARGE(A$7:A54,1)+1),"")</f>
        <v/>
      </c>
      <c r="B56" s="150"/>
      <c r="C56" s="144"/>
      <c r="D56" s="51"/>
      <c r="E56" s="48"/>
      <c r="F56" s="199"/>
      <c r="G56" s="59"/>
      <c r="H56" s="48"/>
      <c r="I56" s="48"/>
      <c r="J56" s="199"/>
      <c r="K56" s="214"/>
      <c r="L56" s="20"/>
      <c r="M56" s="20"/>
      <c r="N56" s="199"/>
    </row>
    <row r="57" spans="1:14" s="21" customFormat="1" ht="18.5" x14ac:dyDescent="0.45">
      <c r="A57" s="75" t="str">
        <f>IF(F57&lt;&gt;"",(LARGE(A$7:A55,1)+1),"")</f>
        <v/>
      </c>
      <c r="B57" s="166" t="s">
        <v>333</v>
      </c>
      <c r="C57" s="144"/>
      <c r="D57" s="51"/>
      <c r="E57" s="48"/>
      <c r="F57" s="199"/>
      <c r="G57" s="59"/>
      <c r="H57" s="48"/>
      <c r="I57" s="48"/>
      <c r="J57" s="199"/>
      <c r="K57" s="214"/>
      <c r="L57" s="20"/>
      <c r="M57" s="20"/>
      <c r="N57" s="199"/>
    </row>
    <row r="58" spans="1:14" s="21" customFormat="1" ht="18.5" x14ac:dyDescent="0.45">
      <c r="A58" s="75" t="str">
        <f>IF(F58&lt;&gt;"",(LARGE(A$7:A56,1)+1),"")</f>
        <v/>
      </c>
      <c r="B58" s="150"/>
      <c r="C58" s="144"/>
      <c r="D58" s="51"/>
      <c r="E58" s="48"/>
      <c r="F58" s="199"/>
      <c r="G58" s="59"/>
      <c r="H58" s="48"/>
      <c r="I58" s="48"/>
      <c r="J58" s="199"/>
      <c r="K58" s="214"/>
      <c r="L58" s="20"/>
      <c r="M58" s="20"/>
      <c r="N58" s="199"/>
    </row>
    <row r="59" spans="1:14" s="21" customFormat="1" ht="18.5" x14ac:dyDescent="0.45">
      <c r="A59" s="75">
        <f>IF(F59&lt;&gt;"",(LARGE(A$7:A57,1)+1),"")</f>
        <v>22</v>
      </c>
      <c r="B59" s="151" t="s">
        <v>334</v>
      </c>
      <c r="C59" s="144">
        <v>2</v>
      </c>
      <c r="D59" s="51" t="s">
        <v>12</v>
      </c>
      <c r="E59" s="48">
        <f t="shared" ref="E59:E81" si="19">G59+H59+J59+I59</f>
        <v>245.13112500000003</v>
      </c>
      <c r="F59" s="199">
        <f t="shared" ref="F59:F81" si="20">E59*C59</f>
        <v>490.26225000000005</v>
      </c>
      <c r="G59" s="59">
        <v>67.657499999999999</v>
      </c>
      <c r="H59" s="48">
        <v>145.5</v>
      </c>
      <c r="I59" s="48">
        <f>IF(D59=0," ",(G59)*([1]Details!$C$4+[1]Details!$C$8))</f>
        <v>10.148625000000001</v>
      </c>
      <c r="J59" s="199">
        <f>IF(D59=0," ",(H59)*([1]Details!$C$6+[1]Details!$C$8))</f>
        <v>21.825000000000003</v>
      </c>
      <c r="K59" s="59">
        <f t="shared" ref="K59:K81" si="21">+G59*C59</f>
        <v>135.315</v>
      </c>
      <c r="L59" s="48">
        <f t="shared" ref="L59:L81" si="22">+H59*C59</f>
        <v>291</v>
      </c>
      <c r="M59" s="48">
        <f t="shared" ref="M59:M81" si="23">IF(D59=0," ",(I59*C59))</f>
        <v>20.297250000000002</v>
      </c>
      <c r="N59" s="199">
        <f t="shared" ref="N59:N81" si="24">IF(D59=0," ",(J59*C59))</f>
        <v>43.650000000000006</v>
      </c>
    </row>
    <row r="60" spans="1:14" s="21" customFormat="1" ht="18.5" x14ac:dyDescent="0.45">
      <c r="A60" s="75" t="str">
        <f>IF(F60&lt;&gt;"",(LARGE(A$7:A58,1)+1),"")</f>
        <v/>
      </c>
      <c r="B60" s="151"/>
      <c r="C60" s="144"/>
      <c r="D60" s="51"/>
      <c r="E60" s="48"/>
      <c r="F60" s="199"/>
      <c r="G60" s="59"/>
      <c r="H60" s="48"/>
      <c r="I60" s="48"/>
      <c r="J60" s="199"/>
      <c r="K60" s="59"/>
      <c r="L60" s="48"/>
      <c r="M60" s="48"/>
      <c r="N60" s="199"/>
    </row>
    <row r="61" spans="1:14" s="21" customFormat="1" ht="18.5" x14ac:dyDescent="0.45">
      <c r="A61" s="75">
        <f>IF(F61&lt;&gt;"",(LARGE(A$7:A59,1)+1),"")</f>
        <v>23</v>
      </c>
      <c r="B61" s="151" t="s">
        <v>335</v>
      </c>
      <c r="C61" s="144">
        <v>26</v>
      </c>
      <c r="D61" s="51" t="s">
        <v>12</v>
      </c>
      <c r="E61" s="48">
        <f t="shared" si="19"/>
        <v>213.12087499999998</v>
      </c>
      <c r="F61" s="199">
        <f t="shared" si="20"/>
        <v>5541.14275</v>
      </c>
      <c r="G61" s="59">
        <v>58.822500000000005</v>
      </c>
      <c r="H61" s="48">
        <v>126.5</v>
      </c>
      <c r="I61" s="48">
        <f>IF(D61=0," ",(G61)*([1]Details!$C$4+[1]Details!$C$8))</f>
        <v>8.8233750000000022</v>
      </c>
      <c r="J61" s="199">
        <f>IF(D61=0," ",(H61)*([1]Details!$C$6+[1]Details!$C$8))</f>
        <v>18.975000000000001</v>
      </c>
      <c r="K61" s="59">
        <f t="shared" si="21"/>
        <v>1529.3850000000002</v>
      </c>
      <c r="L61" s="48">
        <f t="shared" si="22"/>
        <v>3289</v>
      </c>
      <c r="M61" s="48">
        <f t="shared" si="23"/>
        <v>229.40775000000005</v>
      </c>
      <c r="N61" s="199">
        <f t="shared" si="24"/>
        <v>493.35</v>
      </c>
    </row>
    <row r="62" spans="1:14" s="21" customFormat="1" ht="18.5" x14ac:dyDescent="0.45">
      <c r="A62" s="75" t="str">
        <f>IF(F62&lt;&gt;"",(LARGE(A$7:A60,1)+1),"")</f>
        <v/>
      </c>
      <c r="B62" s="151"/>
      <c r="C62" s="144"/>
      <c r="D62" s="51"/>
      <c r="E62" s="48"/>
      <c r="F62" s="199"/>
      <c r="G62" s="59"/>
      <c r="H62" s="48"/>
      <c r="I62" s="48"/>
      <c r="J62" s="199"/>
      <c r="K62" s="59"/>
      <c r="L62" s="48"/>
      <c r="M62" s="48"/>
      <c r="N62" s="199"/>
    </row>
    <row r="63" spans="1:14" s="21" customFormat="1" ht="18.5" x14ac:dyDescent="0.45">
      <c r="A63" s="75">
        <f>IF(F63&lt;&gt;"",(LARGE(A$7:A61,1)+1),"")</f>
        <v>24</v>
      </c>
      <c r="B63" s="151" t="s">
        <v>336</v>
      </c>
      <c r="C63" s="144">
        <v>2</v>
      </c>
      <c r="D63" s="51" t="s">
        <v>12</v>
      </c>
      <c r="E63" s="48">
        <f t="shared" si="19"/>
        <v>379.91112500000003</v>
      </c>
      <c r="F63" s="199">
        <f t="shared" si="20"/>
        <v>759.82225000000005</v>
      </c>
      <c r="G63" s="59">
        <v>104.8575</v>
      </c>
      <c r="H63" s="48">
        <v>225.5</v>
      </c>
      <c r="I63" s="48">
        <f>IF(D63=0," ",(G63)*([1]Details!$C$4+[1]Details!$C$8))</f>
        <v>15.728625000000003</v>
      </c>
      <c r="J63" s="199">
        <f>IF(D63=0," ",(H63)*([1]Details!$C$6+[1]Details!$C$8))</f>
        <v>33.825000000000003</v>
      </c>
      <c r="K63" s="59">
        <f t="shared" si="21"/>
        <v>209.715</v>
      </c>
      <c r="L63" s="48">
        <f t="shared" si="22"/>
        <v>451</v>
      </c>
      <c r="M63" s="48">
        <f t="shared" si="23"/>
        <v>31.457250000000005</v>
      </c>
      <c r="N63" s="199">
        <f t="shared" si="24"/>
        <v>67.650000000000006</v>
      </c>
    </row>
    <row r="64" spans="1:14" s="21" customFormat="1" ht="18.5" x14ac:dyDescent="0.45">
      <c r="A64" s="75" t="str">
        <f>IF(F64&lt;&gt;"",(LARGE(A$7:A62,1)+1),"")</f>
        <v/>
      </c>
      <c r="B64" s="151"/>
      <c r="C64" s="144"/>
      <c r="D64" s="51"/>
      <c r="E64" s="48"/>
      <c r="F64" s="199"/>
      <c r="G64" s="59"/>
      <c r="H64" s="48"/>
      <c r="I64" s="48"/>
      <c r="J64" s="199"/>
      <c r="K64" s="59"/>
      <c r="L64" s="48"/>
      <c r="M64" s="48"/>
      <c r="N64" s="199"/>
    </row>
    <row r="65" spans="1:14" s="21" customFormat="1" ht="18.5" x14ac:dyDescent="0.45">
      <c r="A65" s="75">
        <f>IF(F65&lt;&gt;"",(LARGE(A$7:A63,1)+1),"")</f>
        <v>25</v>
      </c>
      <c r="B65" s="151" t="s">
        <v>337</v>
      </c>
      <c r="C65" s="144">
        <v>1</v>
      </c>
      <c r="D65" s="51" t="s">
        <v>12</v>
      </c>
      <c r="E65" s="48">
        <f t="shared" si="19"/>
        <v>412.76375000000002</v>
      </c>
      <c r="F65" s="199">
        <f t="shared" si="20"/>
        <v>412.76375000000002</v>
      </c>
      <c r="G65" s="59">
        <v>113.92500000000001</v>
      </c>
      <c r="H65" s="48">
        <v>245</v>
      </c>
      <c r="I65" s="48">
        <f>IF(D65=0," ",(G65)*([1]Details!$C$4+[1]Details!$C$8))</f>
        <v>17.088750000000005</v>
      </c>
      <c r="J65" s="199">
        <f>IF(D65=0," ",(H65)*([1]Details!$C$6+[1]Details!$C$8))</f>
        <v>36.750000000000007</v>
      </c>
      <c r="K65" s="59">
        <f t="shared" si="21"/>
        <v>113.92500000000001</v>
      </c>
      <c r="L65" s="48">
        <f t="shared" si="22"/>
        <v>245</v>
      </c>
      <c r="M65" s="48">
        <f t="shared" si="23"/>
        <v>17.088750000000005</v>
      </c>
      <c r="N65" s="199">
        <f t="shared" si="24"/>
        <v>36.750000000000007</v>
      </c>
    </row>
    <row r="66" spans="1:14" s="21" customFormat="1" ht="18.5" x14ac:dyDescent="0.45">
      <c r="A66" s="75" t="str">
        <f>IF(F66&lt;&gt;"",(LARGE(A$7:A64,1)+1),"")</f>
        <v/>
      </c>
      <c r="B66" s="151"/>
      <c r="C66" s="144"/>
      <c r="D66" s="51"/>
      <c r="E66" s="48"/>
      <c r="F66" s="199"/>
      <c r="G66" s="59"/>
      <c r="H66" s="48"/>
      <c r="I66" s="48"/>
      <c r="J66" s="199"/>
      <c r="K66" s="59"/>
      <c r="L66" s="48"/>
      <c r="M66" s="48"/>
      <c r="N66" s="199"/>
    </row>
    <row r="67" spans="1:14" s="21" customFormat="1" ht="18.5" x14ac:dyDescent="0.45">
      <c r="A67" s="75">
        <f>IF(F67&lt;&gt;"",(LARGE(A$7:A65,1)+1),"")</f>
        <v>26</v>
      </c>
      <c r="B67" s="341" t="s">
        <v>338</v>
      </c>
      <c r="C67" s="144">
        <v>1</v>
      </c>
      <c r="D67" s="51" t="s">
        <v>12</v>
      </c>
      <c r="E67" s="48">
        <f t="shared" si="19"/>
        <v>277.98375000000004</v>
      </c>
      <c r="F67" s="199">
        <f t="shared" si="20"/>
        <v>277.98375000000004</v>
      </c>
      <c r="G67" s="59">
        <v>76.725000000000009</v>
      </c>
      <c r="H67" s="48">
        <v>165</v>
      </c>
      <c r="I67" s="48">
        <f>IF(D67=0," ",(G67)*([1]Details!$C$4+[1]Details!$C$8))</f>
        <v>11.508750000000003</v>
      </c>
      <c r="J67" s="199">
        <f>IF(D67=0," ",(H67)*([1]Details!$C$6+[1]Details!$C$8))</f>
        <v>24.750000000000004</v>
      </c>
      <c r="K67" s="59">
        <f t="shared" si="21"/>
        <v>76.725000000000009</v>
      </c>
      <c r="L67" s="48">
        <f t="shared" si="22"/>
        <v>165</v>
      </c>
      <c r="M67" s="48">
        <f t="shared" si="23"/>
        <v>11.508750000000003</v>
      </c>
      <c r="N67" s="199">
        <f t="shared" si="24"/>
        <v>24.750000000000004</v>
      </c>
    </row>
    <row r="68" spans="1:14" s="21" customFormat="1" ht="18.5" x14ac:dyDescent="0.45">
      <c r="A68" s="75" t="str">
        <f>IF(F68&lt;&gt;"",(LARGE(A$7:A66,1)+1),"")</f>
        <v/>
      </c>
      <c r="B68" s="151"/>
      <c r="C68" s="144"/>
      <c r="D68" s="51"/>
      <c r="E68" s="48"/>
      <c r="F68" s="199"/>
      <c r="G68" s="59"/>
      <c r="H68" s="48"/>
      <c r="I68" s="48"/>
      <c r="J68" s="199"/>
      <c r="K68" s="59"/>
      <c r="L68" s="48"/>
      <c r="M68" s="48"/>
      <c r="N68" s="199"/>
    </row>
    <row r="69" spans="1:14" s="21" customFormat="1" ht="18.5" x14ac:dyDescent="0.45">
      <c r="A69" s="75">
        <f>IF(F69&lt;&gt;"",(LARGE(A$7:A67,1)+1),"")</f>
        <v>27</v>
      </c>
      <c r="B69" s="151" t="s">
        <v>339</v>
      </c>
      <c r="C69" s="144">
        <v>15</v>
      </c>
      <c r="D69" s="51" t="s">
        <v>12</v>
      </c>
      <c r="E69" s="48">
        <f t="shared" si="19"/>
        <v>144.29883750000002</v>
      </c>
      <c r="F69" s="199">
        <f t="shared" si="20"/>
        <v>2164.4825625000003</v>
      </c>
      <c r="G69" s="59">
        <v>39.827250000000006</v>
      </c>
      <c r="H69" s="48">
        <v>85.65</v>
      </c>
      <c r="I69" s="48">
        <f>IF(D69=0," ",(G69)*([1]Details!$C$4+[1]Details!$C$8))</f>
        <v>5.9740875000000022</v>
      </c>
      <c r="J69" s="199">
        <f>IF(D69=0," ",(H69)*([1]Details!$C$6+[1]Details!$C$8))</f>
        <v>12.847500000000002</v>
      </c>
      <c r="K69" s="59">
        <f t="shared" si="21"/>
        <v>597.40875000000005</v>
      </c>
      <c r="L69" s="48">
        <f t="shared" si="22"/>
        <v>1284.75</v>
      </c>
      <c r="M69" s="48">
        <f t="shared" si="23"/>
        <v>89.611312500000039</v>
      </c>
      <c r="N69" s="199">
        <f t="shared" si="24"/>
        <v>192.71250000000003</v>
      </c>
    </row>
    <row r="70" spans="1:14" s="21" customFormat="1" ht="18.5" x14ac:dyDescent="0.45">
      <c r="A70" s="75" t="str">
        <f>IF(F70&lt;&gt;"",(LARGE(A$7:A68,1)+1),"")</f>
        <v/>
      </c>
      <c r="B70" s="151"/>
      <c r="C70" s="144"/>
      <c r="D70" s="51"/>
      <c r="E70" s="48"/>
      <c r="F70" s="199"/>
      <c r="G70" s="59"/>
      <c r="H70" s="48"/>
      <c r="I70" s="48"/>
      <c r="J70" s="199"/>
      <c r="K70" s="59"/>
      <c r="L70" s="48"/>
      <c r="M70" s="48"/>
      <c r="N70" s="199"/>
    </row>
    <row r="71" spans="1:14" s="21" customFormat="1" ht="18.5" x14ac:dyDescent="0.45">
      <c r="A71" s="75">
        <f>IF(F71&lt;&gt;"",(LARGE(A$7:A69,1)+1),"")</f>
        <v>28</v>
      </c>
      <c r="B71" s="151" t="s">
        <v>340</v>
      </c>
      <c r="C71" s="144">
        <v>6</v>
      </c>
      <c r="D71" s="51" t="s">
        <v>12</v>
      </c>
      <c r="E71" s="48">
        <f t="shared" si="19"/>
        <v>44.645874999999997</v>
      </c>
      <c r="F71" s="199">
        <f t="shared" si="20"/>
        <v>267.87524999999999</v>
      </c>
      <c r="G71" s="59">
        <v>12.3225</v>
      </c>
      <c r="H71" s="48">
        <v>26.5</v>
      </c>
      <c r="I71" s="48">
        <f>IF(D71=0," ",(G71)*([1]Details!$C$4+[1]Details!$C$8))</f>
        <v>1.8483750000000003</v>
      </c>
      <c r="J71" s="199">
        <f>IF(D71=0," ",(H71)*([1]Details!$C$6+[1]Details!$C$8))</f>
        <v>3.9750000000000005</v>
      </c>
      <c r="K71" s="59">
        <f t="shared" si="21"/>
        <v>73.935000000000002</v>
      </c>
      <c r="L71" s="48">
        <f t="shared" si="22"/>
        <v>159</v>
      </c>
      <c r="M71" s="48">
        <f t="shared" si="23"/>
        <v>11.090250000000001</v>
      </c>
      <c r="N71" s="199">
        <f t="shared" si="24"/>
        <v>23.85</v>
      </c>
    </row>
    <row r="72" spans="1:14" s="21" customFormat="1" ht="18.5" x14ac:dyDescent="0.45">
      <c r="A72" s="75" t="str">
        <f>IF(F72&lt;&gt;"",(LARGE(A$7:A70,1)+1),"")</f>
        <v/>
      </c>
      <c r="B72" s="151"/>
      <c r="C72" s="144"/>
      <c r="D72" s="51"/>
      <c r="E72" s="48"/>
      <c r="F72" s="199"/>
      <c r="G72" s="59"/>
      <c r="H72" s="48"/>
      <c r="I72" s="48"/>
      <c r="J72" s="199"/>
      <c r="K72" s="59"/>
      <c r="L72" s="48"/>
      <c r="M72" s="48"/>
      <c r="N72" s="199"/>
    </row>
    <row r="73" spans="1:14" s="21" customFormat="1" ht="18.5" x14ac:dyDescent="0.45">
      <c r="A73" s="75">
        <f>IF(F73&lt;&gt;"",(LARGE(A$7:A71,1)+1),"")</f>
        <v>29</v>
      </c>
      <c r="B73" s="151" t="s">
        <v>341</v>
      </c>
      <c r="C73" s="144">
        <v>1</v>
      </c>
      <c r="D73" s="51" t="s">
        <v>12</v>
      </c>
      <c r="E73" s="48">
        <f t="shared" si="19"/>
        <v>92.913962499999997</v>
      </c>
      <c r="F73" s="199">
        <f t="shared" si="20"/>
        <v>92.913962499999997</v>
      </c>
      <c r="G73" s="59">
        <v>25.644750000000002</v>
      </c>
      <c r="H73" s="48">
        <v>55.15</v>
      </c>
      <c r="I73" s="48">
        <f>IF(D73=0," ",(G73)*([1]Details!$C$4+[1]Details!$C$8))</f>
        <v>3.8467125000000006</v>
      </c>
      <c r="J73" s="199">
        <f>IF(D73=0," ",(H73)*([1]Details!$C$6+[1]Details!$C$8))</f>
        <v>8.2725000000000009</v>
      </c>
      <c r="K73" s="59">
        <f t="shared" si="21"/>
        <v>25.644750000000002</v>
      </c>
      <c r="L73" s="48">
        <f t="shared" si="22"/>
        <v>55.15</v>
      </c>
      <c r="M73" s="48">
        <f t="shared" si="23"/>
        <v>3.8467125000000006</v>
      </c>
      <c r="N73" s="199">
        <f t="shared" si="24"/>
        <v>8.2725000000000009</v>
      </c>
    </row>
    <row r="74" spans="1:14" s="21" customFormat="1" ht="18.5" x14ac:dyDescent="0.45">
      <c r="A74" s="75" t="str">
        <f>IF(F74&lt;&gt;"",(LARGE(A$7:A72,1)+1),"")</f>
        <v/>
      </c>
      <c r="B74" s="151"/>
      <c r="C74" s="144"/>
      <c r="D74" s="51"/>
      <c r="E74" s="48"/>
      <c r="F74" s="199"/>
      <c r="G74" s="59"/>
      <c r="H74" s="48"/>
      <c r="I74" s="48"/>
      <c r="J74" s="199"/>
      <c r="K74" s="59"/>
      <c r="L74" s="48"/>
      <c r="M74" s="48"/>
      <c r="N74" s="199"/>
    </row>
    <row r="75" spans="1:14" s="21" customFormat="1" ht="18.5" x14ac:dyDescent="0.45">
      <c r="A75" s="75">
        <f>IF(F75&lt;&gt;"",(LARGE(A$7:A73,1)+1),"")</f>
        <v>30</v>
      </c>
      <c r="B75" s="151" t="s">
        <v>342</v>
      </c>
      <c r="C75" s="144">
        <v>1</v>
      </c>
      <c r="D75" s="51" t="s">
        <v>12</v>
      </c>
      <c r="E75" s="48">
        <f t="shared" si="19"/>
        <v>1457.3087499999999</v>
      </c>
      <c r="F75" s="199">
        <f t="shared" si="20"/>
        <v>1457.3087499999999</v>
      </c>
      <c r="G75" s="59">
        <v>402.22500000000002</v>
      </c>
      <c r="H75" s="48">
        <v>865</v>
      </c>
      <c r="I75" s="48">
        <f>IF(D75=0," ",(G75)*([1]Details!$C$4+[1]Details!$C$8))</f>
        <v>60.333750000000009</v>
      </c>
      <c r="J75" s="199">
        <f>IF(D75=0," ",(H75)*([1]Details!$C$6+[1]Details!$C$8))</f>
        <v>129.75000000000003</v>
      </c>
      <c r="K75" s="59">
        <f t="shared" si="21"/>
        <v>402.22500000000002</v>
      </c>
      <c r="L75" s="48">
        <f t="shared" si="22"/>
        <v>865</v>
      </c>
      <c r="M75" s="48">
        <f t="shared" si="23"/>
        <v>60.333750000000009</v>
      </c>
      <c r="N75" s="199">
        <f t="shared" si="24"/>
        <v>129.75000000000003</v>
      </c>
    </row>
    <row r="76" spans="1:14" s="21" customFormat="1" ht="18.5" x14ac:dyDescent="0.45">
      <c r="A76" s="75" t="str">
        <f>IF(F76&lt;&gt;"",(LARGE(A$7:A74,1)+1),"")</f>
        <v/>
      </c>
      <c r="B76" s="151"/>
      <c r="C76" s="144"/>
      <c r="D76" s="51"/>
      <c r="E76" s="48"/>
      <c r="F76" s="199"/>
      <c r="G76" s="59"/>
      <c r="H76" s="48"/>
      <c r="I76" s="48"/>
      <c r="J76" s="199"/>
      <c r="K76" s="59"/>
      <c r="L76" s="48"/>
      <c r="M76" s="48"/>
      <c r="N76" s="199"/>
    </row>
    <row r="77" spans="1:14" s="21" customFormat="1" ht="18.5" x14ac:dyDescent="0.45">
      <c r="A77" s="75">
        <f>IF(F77&lt;&gt;"",(LARGE(A$7:A75,1)+1),"")</f>
        <v>31</v>
      </c>
      <c r="B77" s="151" t="s">
        <v>343</v>
      </c>
      <c r="C77" s="144">
        <v>1</v>
      </c>
      <c r="D77" s="51" t="s">
        <v>12</v>
      </c>
      <c r="E77" s="48">
        <f t="shared" si="19"/>
        <v>951.88375000000008</v>
      </c>
      <c r="F77" s="199">
        <f t="shared" si="20"/>
        <v>951.88375000000008</v>
      </c>
      <c r="G77" s="59">
        <v>262.72500000000002</v>
      </c>
      <c r="H77" s="48">
        <v>565</v>
      </c>
      <c r="I77" s="48">
        <f>IF(D77=0," ",(G77)*([1]Details!$C$4+[1]Details!$C$8))</f>
        <v>39.408750000000012</v>
      </c>
      <c r="J77" s="199">
        <f>IF(D77=0," ",(H77)*([1]Details!$C$6+[1]Details!$C$8))</f>
        <v>84.750000000000014</v>
      </c>
      <c r="K77" s="59">
        <f t="shared" si="21"/>
        <v>262.72500000000002</v>
      </c>
      <c r="L77" s="48">
        <f t="shared" si="22"/>
        <v>565</v>
      </c>
      <c r="M77" s="48">
        <f t="shared" si="23"/>
        <v>39.408750000000012</v>
      </c>
      <c r="N77" s="199">
        <f t="shared" si="24"/>
        <v>84.750000000000014</v>
      </c>
    </row>
    <row r="78" spans="1:14" s="21" customFormat="1" ht="18.5" x14ac:dyDescent="0.45">
      <c r="A78" s="75" t="str">
        <f>IF(F78&lt;&gt;"",(LARGE(A$7:A76,1)+1),"")</f>
        <v/>
      </c>
      <c r="B78" s="151"/>
      <c r="C78" s="144"/>
      <c r="D78" s="51"/>
      <c r="E78" s="48"/>
      <c r="F78" s="199"/>
      <c r="G78" s="59"/>
      <c r="H78" s="48"/>
      <c r="I78" s="48"/>
      <c r="J78" s="199"/>
      <c r="K78" s="59"/>
      <c r="L78" s="48"/>
      <c r="M78" s="48"/>
      <c r="N78" s="199"/>
    </row>
    <row r="79" spans="1:14" s="21" customFormat="1" ht="18.5" x14ac:dyDescent="0.45">
      <c r="A79" s="75">
        <f>IF(F79&lt;&gt;"",(LARGE(A$7:A77,1)+1),"")</f>
        <v>32</v>
      </c>
      <c r="B79" s="151" t="s">
        <v>400</v>
      </c>
      <c r="C79" s="144">
        <v>1</v>
      </c>
      <c r="D79" s="51" t="s">
        <v>12</v>
      </c>
      <c r="E79" s="48">
        <f t="shared" si="19"/>
        <v>434.66550000000001</v>
      </c>
      <c r="F79" s="199">
        <f t="shared" si="20"/>
        <v>434.66550000000001</v>
      </c>
      <c r="G79" s="59">
        <v>119.97000000000001</v>
      </c>
      <c r="H79" s="48">
        <v>258</v>
      </c>
      <c r="I79" s="48">
        <f>IF(D79=0," ",(G79)*([1]Details!$C$4+[1]Details!$C$8))</f>
        <v>17.995500000000003</v>
      </c>
      <c r="J79" s="199">
        <f>IF(D79=0," ",(H79)*([1]Details!$C$6+[1]Details!$C$8))</f>
        <v>38.700000000000003</v>
      </c>
      <c r="K79" s="59">
        <f t="shared" si="21"/>
        <v>119.97000000000001</v>
      </c>
      <c r="L79" s="48">
        <f t="shared" si="22"/>
        <v>258</v>
      </c>
      <c r="M79" s="48">
        <f t="shared" si="23"/>
        <v>17.995500000000003</v>
      </c>
      <c r="N79" s="199">
        <f t="shared" si="24"/>
        <v>38.700000000000003</v>
      </c>
    </row>
    <row r="80" spans="1:14" s="21" customFormat="1" ht="18.5" x14ac:dyDescent="0.45">
      <c r="A80" s="75" t="str">
        <f>IF(F80&lt;&gt;"",(LARGE(A$7:A78,1)+1),"")</f>
        <v/>
      </c>
      <c r="B80" s="151"/>
      <c r="C80" s="144"/>
      <c r="D80" s="51"/>
      <c r="E80" s="48"/>
      <c r="F80" s="199"/>
      <c r="G80" s="59"/>
      <c r="H80" s="48"/>
      <c r="I80" s="48"/>
      <c r="J80" s="199"/>
      <c r="K80" s="59"/>
      <c r="L80" s="48"/>
      <c r="M80" s="48"/>
      <c r="N80" s="199"/>
    </row>
    <row r="81" spans="1:16" s="21" customFormat="1" ht="55.5" x14ac:dyDescent="0.45">
      <c r="A81" s="75">
        <f>IF(F81&lt;&gt;"",(LARGE(A$7:A79,1)+1),"")</f>
        <v>33</v>
      </c>
      <c r="B81" s="151" t="s">
        <v>344</v>
      </c>
      <c r="C81" s="144">
        <v>1</v>
      </c>
      <c r="D81" s="51" t="s">
        <v>12</v>
      </c>
      <c r="E81" s="48">
        <f t="shared" si="19"/>
        <v>64.862875000000003</v>
      </c>
      <c r="F81" s="199">
        <f t="shared" si="20"/>
        <v>64.862875000000003</v>
      </c>
      <c r="G81" s="59">
        <v>17.9025</v>
      </c>
      <c r="H81" s="48">
        <v>38.5</v>
      </c>
      <c r="I81" s="48">
        <f>IF(D81=0," ",(G81)*([1]Details!$C$4+[1]Details!$C$8))</f>
        <v>2.6853750000000005</v>
      </c>
      <c r="J81" s="199">
        <f>IF(D81=0," ",(H81)*([1]Details!$C$6+[1]Details!$C$8))</f>
        <v>5.7750000000000012</v>
      </c>
      <c r="K81" s="59">
        <f t="shared" si="21"/>
        <v>17.9025</v>
      </c>
      <c r="L81" s="48">
        <f t="shared" si="22"/>
        <v>38.5</v>
      </c>
      <c r="M81" s="48">
        <f t="shared" si="23"/>
        <v>2.6853750000000005</v>
      </c>
      <c r="N81" s="199">
        <f t="shared" si="24"/>
        <v>5.7750000000000012</v>
      </c>
    </row>
    <row r="82" spans="1:16" s="21" customFormat="1" ht="18.5" x14ac:dyDescent="0.45">
      <c r="A82" s="75" t="str">
        <f>IF(F82&lt;&gt;"",(LARGE(A$7:A80,1)+1),"")</f>
        <v/>
      </c>
      <c r="B82" s="150"/>
      <c r="C82" s="144"/>
      <c r="D82" s="51"/>
      <c r="E82" s="48"/>
      <c r="F82" s="199"/>
      <c r="G82" s="59"/>
      <c r="H82" s="48"/>
      <c r="I82" s="48"/>
      <c r="J82" s="199"/>
      <c r="K82" s="214"/>
      <c r="L82" s="20"/>
      <c r="M82" s="20"/>
      <c r="N82" s="199"/>
    </row>
    <row r="83" spans="1:16" s="21" customFormat="1" ht="18.5" x14ac:dyDescent="0.45">
      <c r="A83" s="75" t="str">
        <f>IF(F83&lt;&gt;"",(LARGE(A$7:A81,1)+1),"")</f>
        <v/>
      </c>
      <c r="B83" s="166" t="s">
        <v>345</v>
      </c>
      <c r="C83" s="144"/>
      <c r="D83" s="51"/>
      <c r="E83" s="48"/>
      <c r="F83" s="199"/>
      <c r="G83" s="59"/>
      <c r="H83" s="48"/>
      <c r="I83" s="48"/>
      <c r="J83" s="199"/>
      <c r="K83" s="214"/>
      <c r="L83" s="20"/>
      <c r="M83" s="20"/>
      <c r="N83" s="199"/>
    </row>
    <row r="84" spans="1:16" s="21" customFormat="1" ht="18.5" x14ac:dyDescent="0.45">
      <c r="A84" s="75" t="str">
        <f>IF(F84&lt;&gt;"",(LARGE(A$7:A82,1)+1),"")</f>
        <v/>
      </c>
      <c r="B84" s="150"/>
      <c r="C84" s="144"/>
      <c r="D84" s="51"/>
      <c r="E84" s="48"/>
      <c r="F84" s="199"/>
      <c r="G84" s="59"/>
      <c r="H84" s="48"/>
      <c r="I84" s="48"/>
      <c r="J84" s="199"/>
      <c r="K84" s="214"/>
      <c r="L84" s="20"/>
      <c r="M84" s="20"/>
      <c r="N84" s="199"/>
    </row>
    <row r="85" spans="1:16" s="21" customFormat="1" ht="18.5" x14ac:dyDescent="0.45">
      <c r="A85" s="75">
        <f>IF(F85&lt;&gt;"",(LARGE(A$7:A83,1)+1),"")</f>
        <v>34</v>
      </c>
      <c r="B85" s="151" t="s">
        <v>346</v>
      </c>
      <c r="C85" s="144">
        <v>450.34</v>
      </c>
      <c r="D85" s="51" t="s">
        <v>13</v>
      </c>
      <c r="E85" s="48">
        <f t="shared" ref="E85:E87" si="25">G85+H85+J85+I85</f>
        <v>11.540537499999999</v>
      </c>
      <c r="F85" s="199">
        <f t="shared" ref="F85:F87" si="26">E85*C85</f>
        <v>5197.1656577499998</v>
      </c>
      <c r="G85" s="59">
        <v>3.1852499999999999</v>
      </c>
      <c r="H85" s="48">
        <v>6.85</v>
      </c>
      <c r="I85" s="48">
        <f>IF(D85=0," ",(G85)*([1]Details!$C$4+[1]Details!$C$8))</f>
        <v>0.47778750000000003</v>
      </c>
      <c r="J85" s="199">
        <f>IF(D85=0," ",(H85)*([1]Details!$C$6+[1]Details!$C$8))</f>
        <v>1.0275000000000001</v>
      </c>
      <c r="K85" s="59">
        <f t="shared" ref="K85:K87" si="27">+G85*C85</f>
        <v>1434.445485</v>
      </c>
      <c r="L85" s="48">
        <f t="shared" ref="L85:L87" si="28">+H85*C85</f>
        <v>3084.8289999999997</v>
      </c>
      <c r="M85" s="48">
        <f t="shared" ref="M85:M87" si="29">IF(D85=0," ",(I85*C85))</f>
        <v>215.16682274999999</v>
      </c>
      <c r="N85" s="199">
        <f t="shared" ref="N85:N87" si="30">IF(D85=0," ",(J85*C85))</f>
        <v>462.72435000000002</v>
      </c>
    </row>
    <row r="86" spans="1:16" s="21" customFormat="1" ht="18.5" x14ac:dyDescent="0.45">
      <c r="A86" s="75" t="str">
        <f>IF(F86&lt;&gt;"",(LARGE(A$7:A84,1)+1),"")</f>
        <v/>
      </c>
      <c r="B86" s="151"/>
      <c r="C86" s="144"/>
      <c r="D86" s="51"/>
      <c r="E86" s="48"/>
      <c r="F86" s="199"/>
      <c r="G86" s="59"/>
      <c r="H86" s="48"/>
      <c r="I86" s="48"/>
      <c r="J86" s="199"/>
      <c r="K86" s="59"/>
      <c r="L86" s="48"/>
      <c r="M86" s="48"/>
      <c r="N86" s="199"/>
    </row>
    <row r="87" spans="1:16" s="21" customFormat="1" ht="18.5" x14ac:dyDescent="0.45">
      <c r="A87" s="75">
        <f>IF(F87&lt;&gt;"",(LARGE(A$7:A85,1)+1),"")</f>
        <v>35</v>
      </c>
      <c r="B87" s="151" t="s">
        <v>347</v>
      </c>
      <c r="C87" s="144">
        <v>504.58</v>
      </c>
      <c r="D87" s="51" t="s">
        <v>10</v>
      </c>
      <c r="E87" s="48">
        <f t="shared" si="25"/>
        <v>21.059374999999999</v>
      </c>
      <c r="F87" s="199">
        <f t="shared" si="26"/>
        <v>10626.1394375</v>
      </c>
      <c r="G87" s="59">
        <v>5.8125</v>
      </c>
      <c r="H87" s="48">
        <v>12.5</v>
      </c>
      <c r="I87" s="48">
        <f>IF(D87=0," ",(G87)*([1]Details!$C$4+[1]Details!$C$8))</f>
        <v>0.87187500000000018</v>
      </c>
      <c r="J87" s="199">
        <f>IF(D87=0," ",(H87)*([1]Details!$C$6+[1]Details!$C$8))</f>
        <v>1.8750000000000002</v>
      </c>
      <c r="K87" s="59">
        <f t="shared" si="27"/>
        <v>2932.8712499999997</v>
      </c>
      <c r="L87" s="48">
        <f t="shared" si="28"/>
        <v>6307.25</v>
      </c>
      <c r="M87" s="48">
        <f t="shared" si="29"/>
        <v>439.93068750000009</v>
      </c>
      <c r="N87" s="199">
        <f t="shared" si="30"/>
        <v>946.08750000000009</v>
      </c>
    </row>
    <row r="88" spans="1:16" s="21" customFormat="1" ht="18.5" x14ac:dyDescent="0.45">
      <c r="A88" s="75"/>
      <c r="B88" s="151"/>
      <c r="C88" s="144"/>
      <c r="D88" s="51"/>
      <c r="E88" s="48"/>
      <c r="F88" s="199"/>
      <c r="G88" s="59"/>
      <c r="H88" s="48"/>
      <c r="I88" s="48"/>
      <c r="J88" s="199" t="str">
        <f>IF(D88=0," ",(G88+H88)*(Details!$C$4+Details!$C$6))</f>
        <v xml:space="preserve"> </v>
      </c>
      <c r="K88" s="214"/>
      <c r="L88" s="20"/>
      <c r="M88" s="20"/>
      <c r="N88" s="199"/>
      <c r="P88" s="72" t="s">
        <v>125</v>
      </c>
    </row>
    <row r="89" spans="1:16" s="21" customFormat="1" ht="19" thickBot="1" x14ac:dyDescent="0.5">
      <c r="A89" s="75"/>
      <c r="B89" s="160"/>
      <c r="C89" s="52"/>
      <c r="D89" s="60"/>
      <c r="E89" s="62" t="s">
        <v>97</v>
      </c>
      <c r="F89" s="200">
        <f>SUM(F8:F87)</f>
        <v>92349.165225249992</v>
      </c>
      <c r="G89" s="59"/>
      <c r="H89" s="48"/>
      <c r="I89" s="48"/>
      <c r="J89" s="199" t="str">
        <f>IF(D89=0," ",(G89+H89)*(Details!$C$4+Details!$C$6))</f>
        <v xml:space="preserve"> </v>
      </c>
      <c r="K89" s="200">
        <f>SUM(K8:K87)</f>
        <v>25488.862934999994</v>
      </c>
      <c r="L89" s="200">
        <f>SUM(L8:L87)</f>
        <v>54814.758999999991</v>
      </c>
      <c r="M89" s="200">
        <f>SUM(M8:M87)</f>
        <v>3823.3294402500014</v>
      </c>
      <c r="N89" s="200">
        <f>SUM(N8:N87)</f>
        <v>8222.2138500000001</v>
      </c>
      <c r="O89" s="55"/>
      <c r="P89" s="72">
        <f>+F89-K89-L89-N89-M89</f>
        <v>0</v>
      </c>
    </row>
    <row r="90" spans="1:16" s="21" customFormat="1" ht="19.5" thickTop="1" thickBot="1" x14ac:dyDescent="0.5">
      <c r="A90" s="161" t="str">
        <f>IF(F90&lt;&gt;"",(LARGE(A$7:A89,1)+1),"")</f>
        <v/>
      </c>
      <c r="B90" s="162"/>
      <c r="C90" s="163"/>
      <c r="D90" s="63"/>
      <c r="E90" s="65"/>
      <c r="F90" s="67"/>
      <c r="G90" s="66"/>
      <c r="H90" s="65"/>
      <c r="I90" s="65"/>
      <c r="J90" s="67" t="str">
        <f>IF(D90=0," ",(G90+H90)*(Details!$C$4+Details!$C$6))</f>
        <v xml:space="preserve"> </v>
      </c>
      <c r="K90" s="227"/>
      <c r="L90" s="227"/>
      <c r="M90" s="227"/>
      <c r="N90" s="187"/>
      <c r="O90" s="55"/>
    </row>
  </sheetData>
  <mergeCells count="2">
    <mergeCell ref="G5:J5"/>
    <mergeCell ref="K5:N5"/>
  </mergeCells>
  <conditionalFormatting sqref="G8:G10585">
    <cfRule type="notContainsBlanks" dxfId="32" priority="8">
      <formula>LEN(TRIM(G8))&gt;0</formula>
    </cfRule>
  </conditionalFormatting>
  <conditionalFormatting sqref="H10:H20">
    <cfRule type="notContainsBlanks" dxfId="31" priority="6">
      <formula>LEN(TRIM(H10))&gt;0</formula>
    </cfRule>
  </conditionalFormatting>
  <conditionalFormatting sqref="H25:H43">
    <cfRule type="notContainsBlanks" dxfId="30" priority="5">
      <formula>LEN(TRIM(H25))&gt;0</formula>
    </cfRule>
  </conditionalFormatting>
  <conditionalFormatting sqref="H47:H55">
    <cfRule type="notContainsBlanks" dxfId="29" priority="4">
      <formula>LEN(TRIM(H47))&gt;0</formula>
    </cfRule>
  </conditionalFormatting>
  <conditionalFormatting sqref="H59:H81">
    <cfRule type="notContainsBlanks" dxfId="28" priority="3">
      <formula>LEN(TRIM(H59))&gt;0</formula>
    </cfRule>
  </conditionalFormatting>
  <conditionalFormatting sqref="H85:H87">
    <cfRule type="notContainsBlanks" dxfId="27" priority="2">
      <formula>LEN(TRIM(H85))&gt;0</formula>
    </cfRule>
  </conditionalFormatting>
  <conditionalFormatting sqref="H8:I9">
    <cfRule type="notContainsBlanks" dxfId="26" priority="19">
      <formula>LEN(TRIM(H8))&gt;0</formula>
    </cfRule>
  </conditionalFormatting>
  <conditionalFormatting sqref="H21:I24 H44:I46 H56:I58 H82:I84">
    <cfRule type="notContainsBlanks" dxfId="25" priority="7">
      <formula>LEN(TRIM(H21))&gt;0</formula>
    </cfRule>
  </conditionalFormatting>
  <conditionalFormatting sqref="H88:I10585">
    <cfRule type="notContainsBlanks" dxfId="24" priority="24">
      <formula>LEN(TRIM(H88))&gt;0</formula>
    </cfRule>
  </conditionalFormatting>
  <conditionalFormatting sqref="P89">
    <cfRule type="cellIs" dxfId="23" priority="20" operator="equal">
      <formula>0</formula>
    </cfRule>
    <cfRule type="cellIs" dxfId="22" priority="21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>
    <pageSetUpPr fitToPage="1"/>
  </sheetPr>
  <dimension ref="A1:R88"/>
  <sheetViews>
    <sheetView topLeftCell="A46" zoomScale="55" zoomScaleNormal="55" workbookViewId="0">
      <selection activeCell="N88" sqref="N88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6" width="15.6328125" style="20" customWidth="1"/>
    <col min="17" max="17" width="15.6328125" style="16" customWidth="1"/>
    <col min="18" max="16384" width="9.08984375" style="16"/>
  </cols>
  <sheetData>
    <row r="1" spans="1:16" x14ac:dyDescent="0.35">
      <c r="A1" s="29"/>
      <c r="B1" s="23"/>
      <c r="C1" s="30"/>
      <c r="D1" s="24"/>
      <c r="E1" s="33"/>
      <c r="F1" s="34"/>
      <c r="G1" s="33"/>
      <c r="H1" s="33"/>
      <c r="I1" s="33"/>
      <c r="J1" s="24"/>
      <c r="K1" s="16"/>
      <c r="L1" s="16"/>
      <c r="M1" s="16"/>
      <c r="N1" s="16"/>
    </row>
    <row r="2" spans="1:16" x14ac:dyDescent="0.35">
      <c r="A2" s="15"/>
      <c r="B2" s="3" t="str">
        <f>+'Qual, Excl &amp; Assum'!B2</f>
        <v>PROJECT NAME: SQUAIRRELS LEAP GUILDFORD ROAD, CHERTSEY KT16 9RU</v>
      </c>
      <c r="F2" s="35"/>
      <c r="J2" s="16"/>
      <c r="K2" s="16"/>
      <c r="L2" s="16"/>
      <c r="M2" s="16"/>
      <c r="N2" s="16"/>
    </row>
    <row r="3" spans="1:16" x14ac:dyDescent="0.35">
      <c r="A3" s="15"/>
      <c r="B3" s="53" t="str">
        <f>+'Qual, Excl &amp; Assum'!B3</f>
        <v>DATE: 25TH NOVEMBER 2025</v>
      </c>
      <c r="F3" s="35"/>
      <c r="J3" s="16"/>
      <c r="K3" s="16"/>
      <c r="L3" s="16"/>
      <c r="M3" s="16"/>
      <c r="N3" s="16"/>
    </row>
    <row r="4" spans="1:16" s="21" customFormat="1" ht="16" thickBot="1" x14ac:dyDescent="0.4">
      <c r="A4" s="15"/>
      <c r="B4" s="22"/>
      <c r="C4" s="28"/>
      <c r="E4" s="36"/>
      <c r="F4" s="37"/>
      <c r="G4" s="36"/>
      <c r="H4" s="36"/>
      <c r="I4" s="36"/>
      <c r="O4" s="20"/>
      <c r="P4" s="20"/>
    </row>
    <row r="5" spans="1:16" s="21" customFormat="1" ht="38.25" customHeight="1" thickBot="1" x14ac:dyDescent="0.4">
      <c r="A5" s="206"/>
      <c r="B5" s="207" t="s">
        <v>16</v>
      </c>
      <c r="C5" s="211"/>
      <c r="D5" s="209"/>
      <c r="E5" s="210"/>
      <c r="F5" s="216"/>
      <c r="G5" s="359" t="s">
        <v>121</v>
      </c>
      <c r="H5" s="360"/>
      <c r="I5" s="360"/>
      <c r="J5" s="361"/>
      <c r="K5" s="359" t="s">
        <v>122</v>
      </c>
      <c r="L5" s="360"/>
      <c r="M5" s="360"/>
      <c r="N5" s="361"/>
      <c r="O5" s="20"/>
      <c r="P5" s="20"/>
    </row>
    <row r="6" spans="1:16" s="21" customFormat="1" ht="18.5" x14ac:dyDescent="0.45">
      <c r="A6" s="49"/>
      <c r="B6" s="38"/>
      <c r="C6" s="52"/>
      <c r="D6" s="38"/>
      <c r="E6" s="64"/>
      <c r="F6" s="197"/>
      <c r="G6" s="251"/>
      <c r="H6" s="64"/>
      <c r="I6" s="64"/>
      <c r="J6" s="202"/>
      <c r="K6" s="214"/>
      <c r="L6" s="20"/>
      <c r="M6" s="20"/>
      <c r="N6" s="27"/>
      <c r="O6" s="20"/>
      <c r="P6" s="20"/>
    </row>
    <row r="7" spans="1:16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  <c r="O7" s="20"/>
      <c r="P7" s="20"/>
    </row>
    <row r="8" spans="1:16" s="21" customFormat="1" ht="18.5" x14ac:dyDescent="0.45">
      <c r="A8" s="49"/>
      <c r="B8" s="158"/>
      <c r="C8" s="147"/>
      <c r="D8" s="61"/>
      <c r="E8" s="62"/>
      <c r="F8" s="198"/>
      <c r="G8" s="59"/>
      <c r="H8" s="48"/>
      <c r="I8" s="48"/>
      <c r="J8" s="203"/>
      <c r="K8" s="205"/>
      <c r="L8" s="61"/>
      <c r="M8" s="61"/>
      <c r="N8" s="199" t="str">
        <f t="shared" ref="N8" si="0">IF(D8=0," ",(J8*C8))</f>
        <v xml:space="preserve"> </v>
      </c>
      <c r="O8" s="20"/>
      <c r="P8" s="20"/>
    </row>
    <row r="9" spans="1:16" s="21" customFormat="1" ht="18.5" x14ac:dyDescent="0.45">
      <c r="A9" s="49"/>
      <c r="B9" s="159" t="s">
        <v>187</v>
      </c>
      <c r="C9" s="147"/>
      <c r="D9" s="61"/>
      <c r="E9" s="62"/>
      <c r="F9" s="198"/>
      <c r="G9" s="59"/>
      <c r="H9" s="48"/>
      <c r="I9" s="48"/>
      <c r="J9" s="203"/>
      <c r="K9" s="205"/>
      <c r="L9" s="61"/>
      <c r="M9" s="61"/>
      <c r="N9" s="199"/>
      <c r="O9" s="20"/>
      <c r="P9" s="20"/>
    </row>
    <row r="10" spans="1:16" s="21" customFormat="1" ht="18.5" x14ac:dyDescent="0.45">
      <c r="A10" s="49"/>
      <c r="B10" s="150"/>
      <c r="C10" s="147"/>
      <c r="D10" s="61"/>
      <c r="E10" s="62"/>
      <c r="F10" s="198"/>
      <c r="G10" s="59"/>
      <c r="H10" s="48"/>
      <c r="I10" s="48"/>
      <c r="J10" s="203"/>
      <c r="K10" s="205"/>
      <c r="L10" s="61"/>
      <c r="M10" s="61"/>
      <c r="N10" s="199"/>
      <c r="O10" s="20"/>
      <c r="P10" s="20"/>
    </row>
    <row r="11" spans="1:16" s="21" customFormat="1" ht="18.5" x14ac:dyDescent="0.45">
      <c r="A11" s="49">
        <v>1</v>
      </c>
      <c r="B11" s="150" t="s">
        <v>348</v>
      </c>
      <c r="C11" s="332">
        <v>1</v>
      </c>
      <c r="D11" s="169" t="s">
        <v>11</v>
      </c>
      <c r="E11" s="333">
        <f>G11+H11+J11+I11</f>
        <v>4801.5375000000004</v>
      </c>
      <c r="F11" s="334">
        <f>E11*C11</f>
        <v>4801.5375000000004</v>
      </c>
      <c r="G11" s="48">
        <v>1325.25</v>
      </c>
      <c r="H11" s="48">
        <v>2850</v>
      </c>
      <c r="I11" s="333">
        <f>IF(D11=0," ",(G11)*([1]Details!$C$4+[1]Details!$C$8))</f>
        <v>198.78750000000002</v>
      </c>
      <c r="J11" s="334">
        <f>IF(D11=0," ",(H11)*([1]Details!$C$6+[1]Details!$C$8))</f>
        <v>427.50000000000006</v>
      </c>
      <c r="K11" s="335">
        <f>+G11*C11</f>
        <v>1325.25</v>
      </c>
      <c r="L11" s="333">
        <f>+H11*C11</f>
        <v>2850</v>
      </c>
      <c r="M11" s="333">
        <f>IF(D11=0," ",(I11*C11))</f>
        <v>198.78750000000002</v>
      </c>
      <c r="N11" s="334">
        <f>IF(D11=0," ",(J11*C11))</f>
        <v>427.50000000000006</v>
      </c>
      <c r="O11" s="20"/>
      <c r="P11" s="20"/>
    </row>
    <row r="12" spans="1:16" s="21" customFormat="1" ht="18.5" x14ac:dyDescent="0.45">
      <c r="A12" s="49"/>
      <c r="B12" s="150"/>
      <c r="C12" s="144"/>
      <c r="D12" s="169"/>
      <c r="E12" s="48"/>
      <c r="F12" s="199"/>
      <c r="G12" s="48"/>
      <c r="H12" s="48"/>
      <c r="I12" s="48"/>
      <c r="J12" s="199"/>
      <c r="K12" s="59"/>
      <c r="L12" s="48"/>
      <c r="M12" s="48"/>
      <c r="N12" s="199"/>
      <c r="O12" s="20"/>
      <c r="P12" s="20"/>
    </row>
    <row r="13" spans="1:16" s="21" customFormat="1" ht="18.5" x14ac:dyDescent="0.45">
      <c r="A13" s="49"/>
      <c r="B13" s="159" t="s">
        <v>349</v>
      </c>
      <c r="C13" s="332"/>
      <c r="D13" s="169"/>
      <c r="E13" s="333"/>
      <c r="F13" s="334"/>
      <c r="G13" s="48"/>
      <c r="H13" s="48"/>
      <c r="I13" s="333"/>
      <c r="J13" s="334"/>
      <c r="K13" s="335"/>
      <c r="L13" s="333"/>
      <c r="M13" s="333"/>
      <c r="N13" s="334"/>
      <c r="O13" s="20"/>
      <c r="P13" s="20"/>
    </row>
    <row r="14" spans="1:16" s="21" customFormat="1" ht="18.5" x14ac:dyDescent="0.45">
      <c r="A14" s="49"/>
      <c r="B14" s="150"/>
      <c r="C14" s="144"/>
      <c r="D14" s="169"/>
      <c r="E14" s="48"/>
      <c r="F14" s="199"/>
      <c r="G14" s="48"/>
      <c r="H14" s="48"/>
      <c r="I14" s="48"/>
      <c r="J14" s="199"/>
      <c r="K14" s="59"/>
      <c r="L14" s="48"/>
      <c r="M14" s="48"/>
      <c r="N14" s="199"/>
      <c r="O14" s="20"/>
      <c r="P14" s="20"/>
    </row>
    <row r="15" spans="1:16" s="21" customFormat="1" ht="18.5" x14ac:dyDescent="0.45">
      <c r="A15" s="330">
        <f>IF(F15&lt;&gt;"",(LARGE(A$7:A14,1)+1),"")</f>
        <v>2</v>
      </c>
      <c r="B15" s="150" t="s">
        <v>350</v>
      </c>
      <c r="C15" s="332">
        <v>245.02</v>
      </c>
      <c r="D15" s="169" t="s">
        <v>10</v>
      </c>
      <c r="E15" s="333">
        <f>G15+H15+J15+I15</f>
        <v>31.167874999999999</v>
      </c>
      <c r="F15" s="334">
        <f>E15*C15</f>
        <v>7636.7527325000001</v>
      </c>
      <c r="G15" s="48">
        <v>8.6025000000000009</v>
      </c>
      <c r="H15" s="48">
        <v>18.5</v>
      </c>
      <c r="I15" s="333">
        <f>IF(D15=0," ",(G15)*([1]Details!$C$4+[1]Details!$C$8))</f>
        <v>1.2903750000000003</v>
      </c>
      <c r="J15" s="334">
        <f>IF(D15=0," ",(H15)*([1]Details!$C$6+[1]Details!$C$8))</f>
        <v>2.7750000000000004</v>
      </c>
      <c r="K15" s="335">
        <f>+G15*C15</f>
        <v>2107.7845500000003</v>
      </c>
      <c r="L15" s="333">
        <f>+H15*C15</f>
        <v>4532.87</v>
      </c>
      <c r="M15" s="333">
        <f>IF(D15=0," ",(I15*C15))</f>
        <v>316.16768250000007</v>
      </c>
      <c r="N15" s="334">
        <f>IF(D15=0," ",(J15*C15))</f>
        <v>679.93050000000017</v>
      </c>
      <c r="O15" s="20"/>
      <c r="P15" s="20"/>
    </row>
    <row r="16" spans="1:16" s="21" customFormat="1" ht="18.5" x14ac:dyDescent="0.45">
      <c r="A16" s="330" t="str">
        <f>IF(F16&lt;&gt;"",(LARGE(A$7:A15,1)+1),"")</f>
        <v/>
      </c>
      <c r="B16" s="150"/>
      <c r="C16" s="144"/>
      <c r="D16" s="169"/>
      <c r="E16" s="48"/>
      <c r="F16" s="199"/>
      <c r="G16" s="48"/>
      <c r="H16" s="48"/>
      <c r="I16" s="48"/>
      <c r="J16" s="199"/>
      <c r="K16" s="59"/>
      <c r="L16" s="48"/>
      <c r="M16" s="48"/>
      <c r="N16" s="199"/>
      <c r="O16" s="20"/>
      <c r="P16" s="20"/>
    </row>
    <row r="17" spans="1:17" s="21" customFormat="1" ht="19" thickBot="1" x14ac:dyDescent="0.5">
      <c r="A17" s="330" t="str">
        <f>IF(F17&lt;&gt;"",(LARGE(A$7:A16,1)+1),"")</f>
        <v/>
      </c>
      <c r="B17" s="150"/>
      <c r="C17" s="144"/>
      <c r="D17" s="169"/>
      <c r="E17" s="48"/>
      <c r="F17" s="199"/>
      <c r="G17" s="48"/>
      <c r="H17" s="48"/>
      <c r="I17" s="48"/>
      <c r="J17" s="199"/>
      <c r="K17" s="59"/>
      <c r="L17" s="48"/>
      <c r="M17" s="48"/>
      <c r="N17" s="199"/>
      <c r="O17" s="20"/>
      <c r="P17" s="20"/>
    </row>
    <row r="18" spans="1:17" s="21" customFormat="1" ht="21.5" thickBot="1" x14ac:dyDescent="0.5">
      <c r="A18" s="330" t="str">
        <f>IF(F18&lt;&gt;"",(LARGE(A$7:A17,1)+1),"")</f>
        <v/>
      </c>
      <c r="B18" s="207" t="s">
        <v>351</v>
      </c>
      <c r="C18" s="144"/>
      <c r="D18" s="169"/>
      <c r="E18" s="48"/>
      <c r="F18" s="199"/>
      <c r="G18" s="48"/>
      <c r="H18" s="48"/>
      <c r="I18" s="48"/>
      <c r="J18" s="199"/>
      <c r="K18" s="59"/>
      <c r="L18" s="48"/>
      <c r="M18" s="48"/>
      <c r="N18" s="199"/>
      <c r="O18" s="20"/>
      <c r="P18" s="20"/>
    </row>
    <row r="19" spans="1:17" s="21" customFormat="1" ht="18.5" x14ac:dyDescent="0.45">
      <c r="A19" s="330" t="str">
        <f>IF(F19&lt;&gt;"",(LARGE(A$7:A18,1)+1),"")</f>
        <v/>
      </c>
      <c r="B19" s="150"/>
      <c r="C19" s="144"/>
      <c r="D19" s="169"/>
      <c r="E19" s="48"/>
      <c r="F19" s="199"/>
      <c r="G19" s="48"/>
      <c r="H19" s="48"/>
      <c r="I19" s="48"/>
      <c r="J19" s="199"/>
      <c r="K19" s="59"/>
      <c r="L19" s="48"/>
      <c r="M19" s="48"/>
      <c r="N19" s="199"/>
      <c r="O19" s="20"/>
      <c r="P19" s="20"/>
    </row>
    <row r="20" spans="1:17" s="21" customFormat="1" ht="18.5" x14ac:dyDescent="0.45">
      <c r="A20" s="330" t="str">
        <f>IF(F20&lt;&gt;"",(LARGE(A$7:A19,1)+1),"")</f>
        <v/>
      </c>
      <c r="B20" s="164" t="s">
        <v>40</v>
      </c>
      <c r="C20" s="144"/>
      <c r="D20" s="51"/>
      <c r="E20" s="48"/>
      <c r="F20" s="199"/>
      <c r="G20" s="48"/>
      <c r="H20" s="48"/>
      <c r="I20" s="48"/>
      <c r="J20" s="199"/>
      <c r="K20" s="59"/>
      <c r="L20" s="48"/>
      <c r="M20" s="48"/>
      <c r="N20" s="199"/>
      <c r="O20" s="362"/>
      <c r="P20" s="362"/>
      <c r="Q20" s="74"/>
    </row>
    <row r="21" spans="1:17" s="21" customFormat="1" ht="18.5" x14ac:dyDescent="0.45">
      <c r="A21" s="330" t="str">
        <f>IF(F21&lt;&gt;"",(LARGE(A$7:A20,1)+1),"")</f>
        <v/>
      </c>
      <c r="B21" s="151"/>
      <c r="C21" s="144"/>
      <c r="D21" s="60"/>
      <c r="E21" s="48"/>
      <c r="F21" s="199"/>
      <c r="G21" s="48"/>
      <c r="H21" s="48"/>
      <c r="I21" s="48"/>
      <c r="J21" s="199"/>
      <c r="K21" s="59"/>
      <c r="L21" s="48"/>
      <c r="M21" s="48"/>
      <c r="N21" s="199"/>
      <c r="O21" s="363"/>
      <c r="P21" s="363"/>
    </row>
    <row r="22" spans="1:17" s="21" customFormat="1" ht="18.5" x14ac:dyDescent="0.45">
      <c r="A22" s="330">
        <f>IF(F22&lt;&gt;"",(LARGE(A$7:A21,1)+1),"")</f>
        <v>3</v>
      </c>
      <c r="B22" s="150" t="s">
        <v>352</v>
      </c>
      <c r="C22" s="332">
        <v>2.0299999999999998</v>
      </c>
      <c r="D22" s="169" t="s">
        <v>13</v>
      </c>
      <c r="E22" s="333">
        <f t="shared" ref="E22:E28" si="1">G22+H22+J22+I22</f>
        <v>29.483125000000005</v>
      </c>
      <c r="F22" s="334">
        <f t="shared" ref="F22:F28" si="2">E22*C22</f>
        <v>59.850743750000007</v>
      </c>
      <c r="G22" s="48">
        <v>8.1375000000000011</v>
      </c>
      <c r="H22" s="48">
        <v>17.5</v>
      </c>
      <c r="I22" s="333">
        <f>IF(D22=0," ",(G22)*([1]Details!$C$4+[1]Details!$C$8))</f>
        <v>1.2206250000000003</v>
      </c>
      <c r="J22" s="334">
        <f>IF(D22=0," ",(H22)*([1]Details!$C$6+[1]Details!$C$8))</f>
        <v>2.6250000000000004</v>
      </c>
      <c r="K22" s="335">
        <f t="shared" ref="K22:K28" si="3">+G22*C22</f>
        <v>16.519124999999999</v>
      </c>
      <c r="L22" s="333">
        <f t="shared" ref="L22:L28" si="4">+H22*C22</f>
        <v>35.524999999999999</v>
      </c>
      <c r="M22" s="333">
        <f t="shared" ref="M22:M28" si="5">IF(D22=0," ",(I22*C22))</f>
        <v>2.4778687500000003</v>
      </c>
      <c r="N22" s="334">
        <f t="shared" ref="N22:N28" si="6">IF(D22=0," ",(J22*C22))</f>
        <v>5.3287500000000003</v>
      </c>
      <c r="O22" s="339"/>
      <c r="P22" s="339"/>
    </row>
    <row r="23" spans="1:17" s="21" customFormat="1" ht="18.5" x14ac:dyDescent="0.45">
      <c r="A23" s="330" t="str">
        <f>IF(F23&lt;&gt;"",(LARGE(A$7:A22,1)+1),"")</f>
        <v/>
      </c>
      <c r="B23" s="150"/>
      <c r="C23" s="332"/>
      <c r="D23" s="169"/>
      <c r="E23" s="333"/>
      <c r="F23" s="334"/>
      <c r="G23" s="48"/>
      <c r="H23" s="48"/>
      <c r="I23" s="333"/>
      <c r="J23" s="334"/>
      <c r="K23" s="335"/>
      <c r="L23" s="333"/>
      <c r="M23" s="333"/>
      <c r="N23" s="334"/>
      <c r="O23" s="339"/>
      <c r="P23" s="339"/>
    </row>
    <row r="24" spans="1:17" s="21" customFormat="1" ht="18.5" x14ac:dyDescent="0.45">
      <c r="A24" s="330">
        <f>IF(F24&lt;&gt;"",(LARGE(A$7:A23,1)+1),"")</f>
        <v>4</v>
      </c>
      <c r="B24" s="150" t="s">
        <v>353</v>
      </c>
      <c r="C24" s="332">
        <v>44</v>
      </c>
      <c r="D24" s="169" t="s">
        <v>13</v>
      </c>
      <c r="E24" s="333">
        <f t="shared" si="1"/>
        <v>32.852625000000003</v>
      </c>
      <c r="F24" s="334">
        <f t="shared" si="2"/>
        <v>1445.5155000000002</v>
      </c>
      <c r="G24" s="48">
        <v>9.0675000000000008</v>
      </c>
      <c r="H24" s="48">
        <v>19.5</v>
      </c>
      <c r="I24" s="333">
        <f>IF(D24=0," ",(G24)*([1]Details!$C$4+[1]Details!$C$8))</f>
        <v>1.3601250000000003</v>
      </c>
      <c r="J24" s="334">
        <f>IF(D24=0," ",(H24)*([1]Details!$C$6+[1]Details!$C$8))</f>
        <v>2.9250000000000003</v>
      </c>
      <c r="K24" s="335">
        <f t="shared" si="3"/>
        <v>398.97</v>
      </c>
      <c r="L24" s="333">
        <f t="shared" si="4"/>
        <v>858</v>
      </c>
      <c r="M24" s="333">
        <f t="shared" si="5"/>
        <v>59.845500000000008</v>
      </c>
      <c r="N24" s="334">
        <f t="shared" si="6"/>
        <v>128.70000000000002</v>
      </c>
      <c r="O24" s="339"/>
      <c r="P24" s="339"/>
    </row>
    <row r="25" spans="1:17" s="21" customFormat="1" ht="18.5" x14ac:dyDescent="0.45">
      <c r="A25" s="330" t="str">
        <f>IF(F25&lt;&gt;"",(LARGE(A$7:A24,1)+1),"")</f>
        <v/>
      </c>
      <c r="B25" s="150"/>
      <c r="C25" s="332"/>
      <c r="D25" s="169"/>
      <c r="E25" s="333"/>
      <c r="F25" s="334"/>
      <c r="G25" s="48"/>
      <c r="H25" s="48"/>
      <c r="I25" s="333"/>
      <c r="J25" s="334"/>
      <c r="K25" s="335"/>
      <c r="L25" s="333"/>
      <c r="M25" s="333"/>
      <c r="N25" s="334"/>
      <c r="O25" s="339"/>
      <c r="P25" s="339"/>
    </row>
    <row r="26" spans="1:17" s="21" customFormat="1" ht="18.5" x14ac:dyDescent="0.45">
      <c r="A26" s="330">
        <f>IF(F26&lt;&gt;"",(LARGE(A$7:A25,1)+1),"")</f>
        <v>5</v>
      </c>
      <c r="B26" s="150" t="s">
        <v>354</v>
      </c>
      <c r="C26" s="332">
        <v>114</v>
      </c>
      <c r="D26" s="169" t="s">
        <v>13</v>
      </c>
      <c r="E26" s="333">
        <f t="shared" si="1"/>
        <v>36.222125000000005</v>
      </c>
      <c r="F26" s="334">
        <f t="shared" si="2"/>
        <v>4129.3222500000011</v>
      </c>
      <c r="G26" s="48">
        <v>9.9975000000000005</v>
      </c>
      <c r="H26" s="48">
        <v>21.5</v>
      </c>
      <c r="I26" s="333">
        <f>IF(D26=0," ",(G26)*([1]Details!$C$4+[1]Details!$C$8))</f>
        <v>1.4996250000000002</v>
      </c>
      <c r="J26" s="334">
        <f>IF(D26=0," ",(H26)*([1]Details!$C$6+[1]Details!$C$8))</f>
        <v>3.2250000000000005</v>
      </c>
      <c r="K26" s="335">
        <f t="shared" si="3"/>
        <v>1139.7150000000001</v>
      </c>
      <c r="L26" s="333">
        <f t="shared" si="4"/>
        <v>2451</v>
      </c>
      <c r="M26" s="333">
        <f t="shared" si="5"/>
        <v>170.95725000000002</v>
      </c>
      <c r="N26" s="334">
        <f t="shared" si="6"/>
        <v>367.65000000000003</v>
      </c>
      <c r="O26" s="339"/>
      <c r="P26" s="339"/>
    </row>
    <row r="27" spans="1:17" s="21" customFormat="1" ht="18.5" x14ac:dyDescent="0.45">
      <c r="A27" s="330" t="str">
        <f>IF(F27&lt;&gt;"",(LARGE(A$7:A26,1)+1),"")</f>
        <v/>
      </c>
      <c r="B27" s="150"/>
      <c r="C27" s="332"/>
      <c r="D27" s="169"/>
      <c r="E27" s="333"/>
      <c r="F27" s="334"/>
      <c r="G27" s="48"/>
      <c r="H27" s="48"/>
      <c r="I27" s="333"/>
      <c r="J27" s="334"/>
      <c r="K27" s="335"/>
      <c r="L27" s="333"/>
      <c r="M27" s="333"/>
      <c r="N27" s="334"/>
      <c r="O27" s="339"/>
      <c r="P27" s="339"/>
    </row>
    <row r="28" spans="1:17" s="21" customFormat="1" ht="18.5" x14ac:dyDescent="0.45">
      <c r="A28" s="330">
        <f>IF(F28&lt;&gt;"",(LARGE(A$7:A27,1)+1),"")</f>
        <v>6</v>
      </c>
      <c r="B28" s="150" t="s">
        <v>355</v>
      </c>
      <c r="C28" s="332">
        <v>51</v>
      </c>
      <c r="D28" s="169" t="s">
        <v>13</v>
      </c>
      <c r="E28" s="333">
        <f t="shared" si="1"/>
        <v>46.330625000000005</v>
      </c>
      <c r="F28" s="334">
        <f t="shared" si="2"/>
        <v>2362.8618750000001</v>
      </c>
      <c r="G28" s="48">
        <v>12.787500000000001</v>
      </c>
      <c r="H28" s="48">
        <v>27.5</v>
      </c>
      <c r="I28" s="333">
        <f>IF(D28=0," ",(G28)*([1]Details!$C$4+[1]Details!$C$8))</f>
        <v>1.9181250000000005</v>
      </c>
      <c r="J28" s="334">
        <f>IF(D28=0," ",(H28)*([1]Details!$C$6+[1]Details!$C$8))</f>
        <v>4.1250000000000009</v>
      </c>
      <c r="K28" s="335">
        <f t="shared" si="3"/>
        <v>652.16250000000002</v>
      </c>
      <c r="L28" s="333">
        <f t="shared" si="4"/>
        <v>1402.5</v>
      </c>
      <c r="M28" s="333">
        <f t="shared" si="5"/>
        <v>97.824375000000032</v>
      </c>
      <c r="N28" s="334">
        <f t="shared" si="6"/>
        <v>210.37500000000006</v>
      </c>
      <c r="O28" s="339"/>
      <c r="P28" s="339"/>
    </row>
    <row r="29" spans="1:17" s="21" customFormat="1" ht="18.5" x14ac:dyDescent="0.45">
      <c r="A29" s="330" t="str">
        <f>IF(F29&lt;&gt;"",(LARGE(A$7:A28,1)+1),"")</f>
        <v/>
      </c>
      <c r="B29" s="151"/>
      <c r="C29" s="144"/>
      <c r="D29" s="60"/>
      <c r="E29" s="48"/>
      <c r="F29" s="199"/>
      <c r="G29" s="48"/>
      <c r="H29" s="48"/>
      <c r="I29" s="48"/>
      <c r="J29" s="199"/>
      <c r="K29" s="59"/>
      <c r="L29" s="48"/>
      <c r="M29" s="48"/>
      <c r="N29" s="199"/>
      <c r="O29" s="339"/>
      <c r="P29" s="339"/>
    </row>
    <row r="30" spans="1:17" s="21" customFormat="1" ht="18.5" x14ac:dyDescent="0.45">
      <c r="A30" s="330" t="str">
        <f>IF(F30&lt;&gt;"",(LARGE(A$7:A29,1)+1),"")</f>
        <v/>
      </c>
      <c r="B30" s="164" t="s">
        <v>356</v>
      </c>
      <c r="C30" s="144"/>
      <c r="D30" s="60"/>
      <c r="E30" s="48"/>
      <c r="F30" s="199"/>
      <c r="G30" s="48"/>
      <c r="H30" s="48"/>
      <c r="I30" s="48"/>
      <c r="J30" s="199"/>
      <c r="K30" s="59"/>
      <c r="L30" s="48"/>
      <c r="M30" s="48"/>
      <c r="N30" s="199"/>
      <c r="O30" s="339"/>
      <c r="P30" s="339"/>
    </row>
    <row r="31" spans="1:17" s="21" customFormat="1" ht="18.5" x14ac:dyDescent="0.45">
      <c r="A31" s="330" t="str">
        <f>IF(F31&lt;&gt;"",(LARGE(A$7:A30,1)+1),"")</f>
        <v/>
      </c>
      <c r="B31" s="151"/>
      <c r="C31" s="144"/>
      <c r="D31" s="60"/>
      <c r="E31" s="48"/>
      <c r="F31" s="199"/>
      <c r="G31" s="48"/>
      <c r="H31" s="48"/>
      <c r="I31" s="48"/>
      <c r="J31" s="199"/>
      <c r="K31" s="59"/>
      <c r="L31" s="48"/>
      <c r="M31" s="48"/>
      <c r="N31" s="199"/>
      <c r="O31" s="339"/>
      <c r="P31" s="339"/>
    </row>
    <row r="32" spans="1:17" s="21" customFormat="1" ht="18.5" x14ac:dyDescent="0.45">
      <c r="A32" s="330">
        <f>IF(F32&lt;&gt;"",(LARGE(A$7:A31,1)+1),"")</f>
        <v>7</v>
      </c>
      <c r="B32" s="150" t="s">
        <v>357</v>
      </c>
      <c r="C32" s="332">
        <v>14</v>
      </c>
      <c r="D32" s="169" t="s">
        <v>12</v>
      </c>
      <c r="E32" s="333">
        <f t="shared" ref="E32:E40" si="7">G32+H32+J32+I32</f>
        <v>115.40537500000001</v>
      </c>
      <c r="F32" s="334">
        <f t="shared" ref="F32:F40" si="8">E32*C32</f>
        <v>1615.67525</v>
      </c>
      <c r="G32" s="48">
        <v>31.852500000000003</v>
      </c>
      <c r="H32" s="48">
        <v>68.5</v>
      </c>
      <c r="I32" s="333">
        <f>IF(D32=0," ",(G32)*([1]Details!$C$4+[1]Details!$C$8))</f>
        <v>4.7778750000000008</v>
      </c>
      <c r="J32" s="334">
        <f>IF(D32=0," ",(H32)*([1]Details!$C$6+[1]Details!$C$8))</f>
        <v>10.275000000000002</v>
      </c>
      <c r="K32" s="335">
        <f t="shared" ref="K32:K40" si="9">+G32*C32</f>
        <v>445.93500000000006</v>
      </c>
      <c r="L32" s="333">
        <f t="shared" ref="L32:L40" si="10">+H32*C32</f>
        <v>959</v>
      </c>
      <c r="M32" s="333">
        <f t="shared" ref="M32:M40" si="11">IF(D32=0," ",(I32*C32))</f>
        <v>66.890250000000009</v>
      </c>
      <c r="N32" s="334">
        <f t="shared" ref="N32:N40" si="12">IF(D32=0," ",(J32*C32))</f>
        <v>143.85000000000002</v>
      </c>
      <c r="O32" s="339"/>
      <c r="P32" s="339"/>
    </row>
    <row r="33" spans="1:17" s="21" customFormat="1" ht="18.5" x14ac:dyDescent="0.45">
      <c r="A33" s="330" t="str">
        <f>IF(F33&lt;&gt;"",(LARGE(A$7:A32,1)+1),"")</f>
        <v/>
      </c>
      <c r="B33" s="150"/>
      <c r="C33" s="332"/>
      <c r="D33" s="169"/>
      <c r="E33" s="333"/>
      <c r="F33" s="334"/>
      <c r="G33" s="48"/>
      <c r="H33" s="48"/>
      <c r="I33" s="333"/>
      <c r="J33" s="334"/>
      <c r="K33" s="335"/>
      <c r="L33" s="333"/>
      <c r="M33" s="333"/>
      <c r="N33" s="334"/>
      <c r="O33" s="339"/>
      <c r="P33" s="339"/>
    </row>
    <row r="34" spans="1:17" s="21" customFormat="1" ht="18.5" x14ac:dyDescent="0.45">
      <c r="A34" s="330">
        <f>IF(F34&lt;&gt;"",(LARGE(A$7:A33,1)+1),"")</f>
        <v>8</v>
      </c>
      <c r="B34" s="150" t="s">
        <v>358</v>
      </c>
      <c r="C34" s="332">
        <v>19</v>
      </c>
      <c r="D34" s="169" t="s">
        <v>12</v>
      </c>
      <c r="E34" s="333">
        <f t="shared" si="7"/>
        <v>105.296875</v>
      </c>
      <c r="F34" s="334">
        <f t="shared" si="8"/>
        <v>2000.640625</v>
      </c>
      <c r="G34" s="48">
        <v>29.0625</v>
      </c>
      <c r="H34" s="48">
        <v>62.5</v>
      </c>
      <c r="I34" s="333">
        <f>IF(D34=0," ",(G34)*([1]Details!$C$4+[1]Details!$C$8))</f>
        <v>4.3593750000000009</v>
      </c>
      <c r="J34" s="334">
        <f>IF(D34=0," ",(H34)*([1]Details!$C$6+[1]Details!$C$8))</f>
        <v>9.3750000000000018</v>
      </c>
      <c r="K34" s="335">
        <f t="shared" si="9"/>
        <v>552.1875</v>
      </c>
      <c r="L34" s="333">
        <f t="shared" si="10"/>
        <v>1187.5</v>
      </c>
      <c r="M34" s="333">
        <f t="shared" si="11"/>
        <v>82.828125000000014</v>
      </c>
      <c r="N34" s="334">
        <f t="shared" si="12"/>
        <v>178.12500000000003</v>
      </c>
      <c r="O34" s="339"/>
      <c r="P34" s="339"/>
    </row>
    <row r="35" spans="1:17" s="21" customFormat="1" ht="18.5" x14ac:dyDescent="0.45">
      <c r="A35" s="330" t="str">
        <f>IF(F35&lt;&gt;"",(LARGE(A$7:A34,1)+1),"")</f>
        <v/>
      </c>
      <c r="B35" s="150"/>
      <c r="C35" s="332"/>
      <c r="D35" s="169"/>
      <c r="E35" s="333"/>
      <c r="F35" s="334"/>
      <c r="G35" s="48"/>
      <c r="H35" s="48"/>
      <c r="I35" s="333"/>
      <c r="J35" s="334"/>
      <c r="K35" s="335"/>
      <c r="L35" s="333"/>
      <c r="M35" s="333"/>
      <c r="N35" s="334"/>
      <c r="O35" s="339"/>
      <c r="P35" s="339"/>
    </row>
    <row r="36" spans="1:17" s="21" customFormat="1" ht="18.5" x14ac:dyDescent="0.45">
      <c r="A36" s="330">
        <f>IF(F36&lt;&gt;"",(LARGE(A$7:A35,1)+1),"")</f>
        <v>9</v>
      </c>
      <c r="B36" s="150" t="s">
        <v>359</v>
      </c>
      <c r="C36" s="332">
        <v>24</v>
      </c>
      <c r="D36" s="169" t="s">
        <v>12</v>
      </c>
      <c r="E36" s="333">
        <f t="shared" si="7"/>
        <v>103.61212499999999</v>
      </c>
      <c r="F36" s="334">
        <f t="shared" si="8"/>
        <v>2486.6909999999998</v>
      </c>
      <c r="G36" s="48">
        <v>28.5975</v>
      </c>
      <c r="H36" s="48">
        <v>61.5</v>
      </c>
      <c r="I36" s="333">
        <f>IF(D36=0," ",(G36)*([1]Details!$C$4+[1]Details!$C$8))</f>
        <v>4.2896250000000009</v>
      </c>
      <c r="J36" s="334">
        <f>IF(D36=0," ",(H36)*([1]Details!$C$6+[1]Details!$C$8))</f>
        <v>9.2250000000000014</v>
      </c>
      <c r="K36" s="335">
        <f t="shared" si="9"/>
        <v>686.34</v>
      </c>
      <c r="L36" s="333">
        <f t="shared" si="10"/>
        <v>1476</v>
      </c>
      <c r="M36" s="333">
        <f t="shared" si="11"/>
        <v>102.95100000000002</v>
      </c>
      <c r="N36" s="334">
        <f t="shared" si="12"/>
        <v>221.40000000000003</v>
      </c>
      <c r="O36" s="339"/>
      <c r="P36" s="339"/>
    </row>
    <row r="37" spans="1:17" s="21" customFormat="1" ht="18.5" x14ac:dyDescent="0.45">
      <c r="A37" s="330" t="str">
        <f>IF(F37&lt;&gt;"",(LARGE(A$7:A36,1)+1),"")</f>
        <v/>
      </c>
      <c r="B37" s="150"/>
      <c r="C37" s="332"/>
      <c r="D37" s="169"/>
      <c r="E37" s="333"/>
      <c r="F37" s="334"/>
      <c r="G37" s="48"/>
      <c r="H37" s="48"/>
      <c r="I37" s="333"/>
      <c r="J37" s="334"/>
      <c r="K37" s="335"/>
      <c r="L37" s="333"/>
      <c r="M37" s="333"/>
      <c r="N37" s="334"/>
      <c r="O37" s="339"/>
      <c r="P37" s="339"/>
    </row>
    <row r="38" spans="1:17" s="21" customFormat="1" ht="18.5" x14ac:dyDescent="0.45">
      <c r="A38" s="330">
        <f>IF(F38&lt;&gt;"",(LARGE(A$7:A37,1)+1),"")</f>
        <v>10</v>
      </c>
      <c r="B38" s="150" t="s">
        <v>360</v>
      </c>
      <c r="C38" s="332">
        <v>1</v>
      </c>
      <c r="D38" s="169" t="s">
        <v>12</v>
      </c>
      <c r="E38" s="333">
        <f t="shared" si="7"/>
        <v>98.55787500000001</v>
      </c>
      <c r="F38" s="334">
        <f t="shared" si="8"/>
        <v>98.55787500000001</v>
      </c>
      <c r="G38" s="48">
        <v>27.202500000000001</v>
      </c>
      <c r="H38" s="48">
        <v>58.5</v>
      </c>
      <c r="I38" s="333">
        <f>IF(D38=0," ",(G38)*([1]Details!$C$4+[1]Details!$C$8))</f>
        <v>4.080375000000001</v>
      </c>
      <c r="J38" s="334">
        <f>IF(D38=0," ",(H38)*([1]Details!$C$6+[1]Details!$C$8))</f>
        <v>8.7750000000000021</v>
      </c>
      <c r="K38" s="335">
        <f t="shared" si="9"/>
        <v>27.202500000000001</v>
      </c>
      <c r="L38" s="333">
        <f t="shared" si="10"/>
        <v>58.5</v>
      </c>
      <c r="M38" s="333">
        <f t="shared" si="11"/>
        <v>4.080375000000001</v>
      </c>
      <c r="N38" s="334">
        <f t="shared" si="12"/>
        <v>8.7750000000000021</v>
      </c>
      <c r="O38" s="339"/>
      <c r="P38" s="339"/>
    </row>
    <row r="39" spans="1:17" s="21" customFormat="1" ht="18.5" x14ac:dyDescent="0.45">
      <c r="A39" s="330" t="str">
        <f>IF(F39&lt;&gt;"",(LARGE(A$7:A38,1)+1),"")</f>
        <v/>
      </c>
      <c r="B39" s="150"/>
      <c r="C39" s="332"/>
      <c r="D39" s="169"/>
      <c r="E39" s="333"/>
      <c r="F39" s="334"/>
      <c r="G39" s="48"/>
      <c r="H39" s="48"/>
      <c r="I39" s="333"/>
      <c r="J39" s="334"/>
      <c r="K39" s="335"/>
      <c r="L39" s="333"/>
      <c r="M39" s="333"/>
      <c r="N39" s="334"/>
      <c r="O39" s="339"/>
      <c r="P39" s="339"/>
    </row>
    <row r="40" spans="1:17" s="21" customFormat="1" ht="18.5" x14ac:dyDescent="0.45">
      <c r="A40" s="330">
        <f>IF(F40&lt;&gt;"",(LARGE(A$7:A39,1)+1),"")</f>
        <v>11</v>
      </c>
      <c r="B40" s="150" t="s">
        <v>361</v>
      </c>
      <c r="C40" s="332">
        <v>19</v>
      </c>
      <c r="D40" s="169" t="s">
        <v>12</v>
      </c>
      <c r="E40" s="333">
        <f t="shared" si="7"/>
        <v>127.19862500000001</v>
      </c>
      <c r="F40" s="334">
        <f t="shared" si="8"/>
        <v>2416.7738750000003</v>
      </c>
      <c r="G40" s="48">
        <v>35.107500000000002</v>
      </c>
      <c r="H40" s="48">
        <v>75.5</v>
      </c>
      <c r="I40" s="333">
        <f>IF(D40=0," ",(G40)*([1]Details!$C$4+[1]Details!$C$8))</f>
        <v>5.2661250000000006</v>
      </c>
      <c r="J40" s="334">
        <f>IF(D40=0," ",(H40)*([1]Details!$C$6+[1]Details!$C$8))</f>
        <v>11.325000000000001</v>
      </c>
      <c r="K40" s="335">
        <f t="shared" si="9"/>
        <v>667.04250000000002</v>
      </c>
      <c r="L40" s="333">
        <f t="shared" si="10"/>
        <v>1434.5</v>
      </c>
      <c r="M40" s="333">
        <f t="shared" si="11"/>
        <v>100.05637500000002</v>
      </c>
      <c r="N40" s="334">
        <f t="shared" si="12"/>
        <v>215.17500000000001</v>
      </c>
      <c r="O40" s="339"/>
      <c r="P40" s="339"/>
    </row>
    <row r="41" spans="1:17" s="58" customFormat="1" ht="18.5" x14ac:dyDescent="0.45">
      <c r="A41" s="330" t="str">
        <f>IF(F41&lt;&gt;"",(LARGE(A$7:A40,1)+1),"")</f>
        <v/>
      </c>
      <c r="B41" s="331"/>
      <c r="C41" s="332"/>
      <c r="D41" s="169"/>
      <c r="E41" s="333"/>
      <c r="F41" s="334"/>
      <c r="G41" s="48"/>
      <c r="H41" s="333"/>
      <c r="I41" s="333"/>
      <c r="J41" s="334"/>
      <c r="K41" s="335"/>
      <c r="L41" s="333"/>
      <c r="M41" s="333"/>
      <c r="N41" s="334"/>
      <c r="O41" s="69"/>
      <c r="P41" s="336"/>
      <c r="Q41" s="337"/>
    </row>
    <row r="42" spans="1:17" s="58" customFormat="1" ht="18.5" x14ac:dyDescent="0.45">
      <c r="A42" s="330" t="str">
        <f>IF(F42&lt;&gt;"",(LARGE(A$7:A41,1)+1),"")</f>
        <v/>
      </c>
      <c r="B42" s="338" t="s">
        <v>362</v>
      </c>
      <c r="C42" s="332"/>
      <c r="D42" s="169"/>
      <c r="E42" s="333"/>
      <c r="F42" s="334"/>
      <c r="G42" s="48"/>
      <c r="H42" s="333"/>
      <c r="I42" s="333"/>
      <c r="J42" s="334"/>
      <c r="K42" s="335"/>
      <c r="L42" s="333"/>
      <c r="M42" s="333"/>
      <c r="N42" s="334"/>
      <c r="O42" s="70"/>
      <c r="P42" s="69"/>
      <c r="Q42" s="70"/>
    </row>
    <row r="43" spans="1:17" s="58" customFormat="1" ht="18.5" x14ac:dyDescent="0.45">
      <c r="A43" s="330" t="str">
        <f>IF(F43&lt;&gt;"",(LARGE(A$7:A42,1)+1),"")</f>
        <v/>
      </c>
      <c r="B43" s="338"/>
      <c r="C43" s="332"/>
      <c r="D43" s="169"/>
      <c r="E43" s="333"/>
      <c r="F43" s="334"/>
      <c r="G43" s="48"/>
      <c r="H43" s="333"/>
      <c r="I43" s="333"/>
      <c r="J43" s="334"/>
      <c r="K43" s="335"/>
      <c r="L43" s="333"/>
      <c r="M43" s="333"/>
      <c r="N43" s="334"/>
      <c r="O43" s="69"/>
      <c r="P43" s="336"/>
      <c r="Q43" s="337"/>
    </row>
    <row r="44" spans="1:17" s="58" customFormat="1" ht="18.5" x14ac:dyDescent="0.45">
      <c r="A44" s="330">
        <f>IF(F44&lt;&gt;"",(LARGE(A$7:A43,1)+1),"")</f>
        <v>12</v>
      </c>
      <c r="B44" s="150" t="s">
        <v>363</v>
      </c>
      <c r="C44" s="332">
        <v>15.9</v>
      </c>
      <c r="D44" s="169" t="s">
        <v>13</v>
      </c>
      <c r="E44" s="333">
        <f t="shared" ref="E44:E56" si="13">G44+H44+J44+I44</f>
        <v>31.167874999999999</v>
      </c>
      <c r="F44" s="334">
        <f t="shared" ref="F44:F56" si="14">E44*C44</f>
        <v>495.56921249999999</v>
      </c>
      <c r="G44" s="48">
        <v>8.6025000000000009</v>
      </c>
      <c r="H44" s="48">
        <v>18.5</v>
      </c>
      <c r="I44" s="333">
        <f>IF(D44=0," ",(G44)*([1]Details!$C$4+[1]Details!$C$8))</f>
        <v>1.2903750000000003</v>
      </c>
      <c r="J44" s="334">
        <f>IF(D44=0," ",(H44)*([1]Details!$C$6+[1]Details!$C$8))</f>
        <v>2.7750000000000004</v>
      </c>
      <c r="K44" s="335">
        <f t="shared" ref="K44:K56" si="15">+G44*C44</f>
        <v>136.77975000000001</v>
      </c>
      <c r="L44" s="333">
        <f t="shared" ref="L44:L56" si="16">+H44*C44</f>
        <v>294.15000000000003</v>
      </c>
      <c r="M44" s="333">
        <f t="shared" ref="M44:M56" si="17">IF(D44=0," ",(I44*C44))</f>
        <v>20.516962500000005</v>
      </c>
      <c r="N44" s="334">
        <f t="shared" ref="N44:N56" si="18">IF(D44=0," ",(J44*C44))</f>
        <v>44.122500000000009</v>
      </c>
      <c r="O44" s="69"/>
      <c r="P44" s="336"/>
      <c r="Q44" s="337"/>
    </row>
    <row r="45" spans="1:17" s="58" customFormat="1" ht="18.5" x14ac:dyDescent="0.45">
      <c r="A45" s="330" t="str">
        <f>IF(F45&lt;&gt;"",(LARGE(A$7:A44,1)+1),"")</f>
        <v/>
      </c>
      <c r="B45" s="150"/>
      <c r="C45" s="332"/>
      <c r="D45" s="169"/>
      <c r="E45" s="333"/>
      <c r="F45" s="334"/>
      <c r="G45" s="48"/>
      <c r="H45" s="48"/>
      <c r="I45" s="333"/>
      <c r="J45" s="334"/>
      <c r="K45" s="335"/>
      <c r="L45" s="333"/>
      <c r="M45" s="333"/>
      <c r="N45" s="334"/>
      <c r="O45" s="69"/>
      <c r="P45" s="336"/>
      <c r="Q45" s="337"/>
    </row>
    <row r="46" spans="1:17" s="58" customFormat="1" ht="18.5" x14ac:dyDescent="0.45">
      <c r="A46" s="330">
        <f>IF(F46&lt;&gt;"",(LARGE(A$7:A45,1)+1),"")</f>
        <v>13</v>
      </c>
      <c r="B46" s="150" t="s">
        <v>364</v>
      </c>
      <c r="C46" s="332">
        <v>88.19</v>
      </c>
      <c r="D46" s="169" t="s">
        <v>13</v>
      </c>
      <c r="E46" s="333">
        <f t="shared" si="13"/>
        <v>37.906874999999999</v>
      </c>
      <c r="F46" s="334">
        <f t="shared" si="14"/>
        <v>3343.0073062500001</v>
      </c>
      <c r="G46" s="48">
        <v>10.4625</v>
      </c>
      <c r="H46" s="48">
        <v>22.5</v>
      </c>
      <c r="I46" s="333">
        <f>IF(D46=0," ",(G46)*([1]Details!$C$4+[1]Details!$C$8))</f>
        <v>1.5693750000000002</v>
      </c>
      <c r="J46" s="334">
        <f>IF(D46=0," ",(H46)*([1]Details!$C$6+[1]Details!$C$8))</f>
        <v>3.3750000000000004</v>
      </c>
      <c r="K46" s="335">
        <f t="shared" si="15"/>
        <v>922.68787499999996</v>
      </c>
      <c r="L46" s="333">
        <f t="shared" si="16"/>
        <v>1984.2749999999999</v>
      </c>
      <c r="M46" s="333">
        <f t="shared" si="17"/>
        <v>138.40318125000002</v>
      </c>
      <c r="N46" s="334">
        <f t="shared" si="18"/>
        <v>297.64125000000001</v>
      </c>
      <c r="O46" s="69"/>
      <c r="P46" s="336"/>
      <c r="Q46" s="337"/>
    </row>
    <row r="47" spans="1:17" s="58" customFormat="1" ht="18.5" x14ac:dyDescent="0.45">
      <c r="A47" s="330" t="str">
        <f>IF(F47&lt;&gt;"",(LARGE(A$7:A46,1)+1),"")</f>
        <v/>
      </c>
      <c r="B47" s="150"/>
      <c r="C47" s="332"/>
      <c r="D47" s="169"/>
      <c r="E47" s="333"/>
      <c r="F47" s="334"/>
      <c r="G47" s="48"/>
      <c r="H47" s="48"/>
      <c r="I47" s="333"/>
      <c r="J47" s="334"/>
      <c r="K47" s="335"/>
      <c r="L47" s="333"/>
      <c r="M47" s="333"/>
      <c r="N47" s="334"/>
      <c r="O47" s="69"/>
      <c r="P47" s="336"/>
      <c r="Q47" s="337"/>
    </row>
    <row r="48" spans="1:17" s="58" customFormat="1" ht="18.5" x14ac:dyDescent="0.45">
      <c r="A48" s="330">
        <f>IF(F48&lt;&gt;"",(LARGE(A$7:A47,1)+1),"")</f>
        <v>14</v>
      </c>
      <c r="B48" s="150" t="s">
        <v>365</v>
      </c>
      <c r="C48" s="332">
        <v>11.42</v>
      </c>
      <c r="D48" s="169" t="s">
        <v>13</v>
      </c>
      <c r="E48" s="333">
        <f t="shared" si="13"/>
        <v>48.015374999999999</v>
      </c>
      <c r="F48" s="334">
        <f t="shared" si="14"/>
        <v>548.33558249999999</v>
      </c>
      <c r="G48" s="48">
        <v>13.252500000000001</v>
      </c>
      <c r="H48" s="48">
        <v>28.5</v>
      </c>
      <c r="I48" s="333">
        <f>IF(D48=0," ",(G48)*([1]Details!$C$4+[1]Details!$C$8))</f>
        <v>1.9878750000000005</v>
      </c>
      <c r="J48" s="334">
        <f>IF(D48=0," ",(H48)*([1]Details!$C$6+[1]Details!$C$8))</f>
        <v>4.2750000000000004</v>
      </c>
      <c r="K48" s="335">
        <f t="shared" si="15"/>
        <v>151.34355000000002</v>
      </c>
      <c r="L48" s="333">
        <f t="shared" si="16"/>
        <v>325.46999999999997</v>
      </c>
      <c r="M48" s="333">
        <f t="shared" si="17"/>
        <v>22.701532500000006</v>
      </c>
      <c r="N48" s="334">
        <f t="shared" si="18"/>
        <v>48.820500000000003</v>
      </c>
      <c r="O48" s="69"/>
      <c r="P48" s="336"/>
      <c r="Q48" s="337"/>
    </row>
    <row r="49" spans="1:17" s="58" customFormat="1" ht="18.5" x14ac:dyDescent="0.45">
      <c r="A49" s="330" t="str">
        <f>IF(F49&lt;&gt;"",(LARGE(A$7:A48,1)+1),"")</f>
        <v/>
      </c>
      <c r="B49" s="150"/>
      <c r="C49" s="332"/>
      <c r="D49" s="169"/>
      <c r="E49" s="333"/>
      <c r="F49" s="334"/>
      <c r="G49" s="48"/>
      <c r="H49" s="48"/>
      <c r="I49" s="333"/>
      <c r="J49" s="334"/>
      <c r="K49" s="335"/>
      <c r="L49" s="333"/>
      <c r="M49" s="333"/>
      <c r="N49" s="334"/>
      <c r="O49" s="69"/>
      <c r="P49" s="336"/>
      <c r="Q49" s="337"/>
    </row>
    <row r="50" spans="1:17" s="58" customFormat="1" ht="18.5" x14ac:dyDescent="0.45">
      <c r="A50" s="330">
        <f>IF(F50&lt;&gt;"",(LARGE(A$7:A49,1)+1),"")</f>
        <v>15</v>
      </c>
      <c r="B50" s="150" t="s">
        <v>366</v>
      </c>
      <c r="C50" s="332">
        <v>11.88</v>
      </c>
      <c r="D50" s="169" t="s">
        <v>13</v>
      </c>
      <c r="E50" s="333">
        <f t="shared" si="13"/>
        <v>34.537375000000004</v>
      </c>
      <c r="F50" s="334">
        <f t="shared" si="14"/>
        <v>410.30401500000011</v>
      </c>
      <c r="G50" s="48">
        <v>9.5325000000000006</v>
      </c>
      <c r="H50" s="48">
        <v>20.5</v>
      </c>
      <c r="I50" s="333">
        <f>IF(D50=0," ",(G50)*([1]Details!$C$4+[1]Details!$C$8))</f>
        <v>1.4298750000000002</v>
      </c>
      <c r="J50" s="334">
        <f>IF(D50=0," ",(H50)*([1]Details!$C$6+[1]Details!$C$8))</f>
        <v>3.0750000000000006</v>
      </c>
      <c r="K50" s="335">
        <f t="shared" si="15"/>
        <v>113.24610000000001</v>
      </c>
      <c r="L50" s="333">
        <f t="shared" si="16"/>
        <v>243.54000000000002</v>
      </c>
      <c r="M50" s="333">
        <f t="shared" si="17"/>
        <v>16.986915000000003</v>
      </c>
      <c r="N50" s="334">
        <f t="shared" si="18"/>
        <v>36.531000000000013</v>
      </c>
      <c r="O50" s="69"/>
      <c r="P50" s="336"/>
      <c r="Q50" s="337"/>
    </row>
    <row r="51" spans="1:17" s="58" customFormat="1" ht="18.5" x14ac:dyDescent="0.45">
      <c r="A51" s="330" t="str">
        <f>IF(F51&lt;&gt;"",(LARGE(A$7:A50,1)+1),"")</f>
        <v/>
      </c>
      <c r="B51" s="150"/>
      <c r="C51" s="332"/>
      <c r="D51" s="169"/>
      <c r="E51" s="333"/>
      <c r="F51" s="334"/>
      <c r="G51" s="48"/>
      <c r="H51" s="48"/>
      <c r="I51" s="333"/>
      <c r="J51" s="334"/>
      <c r="K51" s="335"/>
      <c r="L51" s="333"/>
      <c r="M51" s="333"/>
      <c r="N51" s="334"/>
      <c r="O51" s="69"/>
      <c r="P51" s="336"/>
      <c r="Q51" s="337"/>
    </row>
    <row r="52" spans="1:17" s="58" customFormat="1" ht="18.5" x14ac:dyDescent="0.45">
      <c r="A52" s="330">
        <f>IF(F52&lt;&gt;"",(LARGE(A$7:A51,1)+1),"")</f>
        <v>16</v>
      </c>
      <c r="B52" s="150" t="s">
        <v>367</v>
      </c>
      <c r="C52" s="332">
        <v>14.37</v>
      </c>
      <c r="D52" s="169" t="s">
        <v>13</v>
      </c>
      <c r="E52" s="333">
        <f t="shared" si="13"/>
        <v>31.167874999999999</v>
      </c>
      <c r="F52" s="334">
        <f t="shared" si="14"/>
        <v>447.88236374999997</v>
      </c>
      <c r="G52" s="48">
        <v>8.6025000000000009</v>
      </c>
      <c r="H52" s="48">
        <v>18.5</v>
      </c>
      <c r="I52" s="333">
        <f>IF(D52=0," ",(G52)*([1]Details!$C$4+[1]Details!$C$8))</f>
        <v>1.2903750000000003</v>
      </c>
      <c r="J52" s="334">
        <f>IF(D52=0," ",(H52)*([1]Details!$C$6+[1]Details!$C$8))</f>
        <v>2.7750000000000004</v>
      </c>
      <c r="K52" s="335">
        <f t="shared" si="15"/>
        <v>123.617925</v>
      </c>
      <c r="L52" s="333">
        <f t="shared" si="16"/>
        <v>265.84499999999997</v>
      </c>
      <c r="M52" s="333">
        <f t="shared" si="17"/>
        <v>18.542688750000003</v>
      </c>
      <c r="N52" s="334">
        <f t="shared" si="18"/>
        <v>39.876750000000001</v>
      </c>
      <c r="O52" s="69"/>
      <c r="P52" s="336"/>
      <c r="Q52" s="337"/>
    </row>
    <row r="53" spans="1:17" s="58" customFormat="1" ht="18.5" x14ac:dyDescent="0.45">
      <c r="A53" s="330" t="str">
        <f>IF(F53&lt;&gt;"",(LARGE(A$7:A52,1)+1),"")</f>
        <v/>
      </c>
      <c r="B53" s="150"/>
      <c r="C53" s="332"/>
      <c r="D53" s="169"/>
      <c r="E53" s="333"/>
      <c r="F53" s="334"/>
      <c r="G53" s="48"/>
      <c r="H53" s="48"/>
      <c r="I53" s="333"/>
      <c r="J53" s="334"/>
      <c r="K53" s="335"/>
      <c r="L53" s="333"/>
      <c r="M53" s="333"/>
      <c r="N53" s="334"/>
      <c r="O53" s="69"/>
      <c r="P53" s="336"/>
      <c r="Q53" s="337"/>
    </row>
    <row r="54" spans="1:17" s="58" customFormat="1" ht="18.5" x14ac:dyDescent="0.45">
      <c r="A54" s="330">
        <f>IF(F54&lt;&gt;"",(LARGE(A$7:A53,1)+1),"")</f>
        <v>17</v>
      </c>
      <c r="B54" s="150" t="s">
        <v>368</v>
      </c>
      <c r="C54" s="332">
        <v>74.61</v>
      </c>
      <c r="D54" s="169" t="s">
        <v>13</v>
      </c>
      <c r="E54" s="333">
        <f t="shared" si="13"/>
        <v>37.906874999999999</v>
      </c>
      <c r="F54" s="334">
        <f t="shared" si="14"/>
        <v>2828.23194375</v>
      </c>
      <c r="G54" s="48">
        <v>10.4625</v>
      </c>
      <c r="H54" s="48">
        <v>22.5</v>
      </c>
      <c r="I54" s="333">
        <f>IF(D54=0," ",(G54)*([1]Details!$C$4+[1]Details!$C$8))</f>
        <v>1.5693750000000002</v>
      </c>
      <c r="J54" s="334">
        <f>IF(D54=0," ",(H54)*([1]Details!$C$6+[1]Details!$C$8))</f>
        <v>3.3750000000000004</v>
      </c>
      <c r="K54" s="335">
        <f t="shared" si="15"/>
        <v>780.607125</v>
      </c>
      <c r="L54" s="333">
        <f t="shared" si="16"/>
        <v>1678.7249999999999</v>
      </c>
      <c r="M54" s="333">
        <f t="shared" si="17"/>
        <v>117.09106875000002</v>
      </c>
      <c r="N54" s="334">
        <f t="shared" si="18"/>
        <v>251.80875000000003</v>
      </c>
      <c r="O54" s="69"/>
      <c r="P54" s="336"/>
      <c r="Q54" s="337"/>
    </row>
    <row r="55" spans="1:17" s="58" customFormat="1" ht="18.5" x14ac:dyDescent="0.45">
      <c r="A55" s="330" t="str">
        <f>IF(F55&lt;&gt;"",(LARGE(A$7:A54,1)+1),"")</f>
        <v/>
      </c>
      <c r="B55" s="150"/>
      <c r="C55" s="332"/>
      <c r="D55" s="169"/>
      <c r="E55" s="333"/>
      <c r="F55" s="334"/>
      <c r="G55" s="48"/>
      <c r="H55" s="48"/>
      <c r="I55" s="333"/>
      <c r="J55" s="334"/>
      <c r="K55" s="335"/>
      <c r="L55" s="333"/>
      <c r="M55" s="333"/>
      <c r="N55" s="334"/>
      <c r="O55" s="69"/>
      <c r="P55" s="336"/>
      <c r="Q55" s="337"/>
    </row>
    <row r="56" spans="1:17" s="58" customFormat="1" ht="18.5" x14ac:dyDescent="0.45">
      <c r="A56" s="330">
        <f>IF(F56&lt;&gt;"",(LARGE(A$7:A55,1)+1),"")</f>
        <v>18</v>
      </c>
      <c r="B56" s="150" t="s">
        <v>369</v>
      </c>
      <c r="C56" s="332">
        <v>14.12</v>
      </c>
      <c r="D56" s="169" t="s">
        <v>13</v>
      </c>
      <c r="E56" s="333">
        <f t="shared" si="13"/>
        <v>34.537375000000004</v>
      </c>
      <c r="F56" s="334">
        <f t="shared" si="14"/>
        <v>487.66773500000005</v>
      </c>
      <c r="G56" s="48">
        <v>9.5325000000000006</v>
      </c>
      <c r="H56" s="48">
        <v>20.5</v>
      </c>
      <c r="I56" s="333">
        <f>IF(D56=0," ",(G56)*([1]Details!$C$4+[1]Details!$C$8))</f>
        <v>1.4298750000000002</v>
      </c>
      <c r="J56" s="334">
        <f>IF(D56=0," ",(H56)*([1]Details!$C$6+[1]Details!$C$8))</f>
        <v>3.0750000000000006</v>
      </c>
      <c r="K56" s="335">
        <f t="shared" si="15"/>
        <v>134.59890000000001</v>
      </c>
      <c r="L56" s="333">
        <f t="shared" si="16"/>
        <v>289.45999999999998</v>
      </c>
      <c r="M56" s="333">
        <f t="shared" si="17"/>
        <v>20.189835000000002</v>
      </c>
      <c r="N56" s="334">
        <f t="shared" si="18"/>
        <v>43.419000000000004</v>
      </c>
      <c r="O56" s="69"/>
      <c r="P56" s="336"/>
      <c r="Q56" s="337"/>
    </row>
    <row r="57" spans="1:17" s="21" customFormat="1" ht="18.5" x14ac:dyDescent="0.45">
      <c r="A57" s="330" t="str">
        <f>IF(F57&lt;&gt;"",(LARGE(A$7:A56,1)+1),"")</f>
        <v/>
      </c>
      <c r="B57" s="38"/>
      <c r="C57" s="144"/>
      <c r="D57" s="51"/>
      <c r="E57" s="48"/>
      <c r="F57" s="199"/>
      <c r="G57" s="48"/>
      <c r="H57" s="48"/>
      <c r="I57" s="48"/>
      <c r="J57" s="199"/>
      <c r="K57" s="59"/>
      <c r="L57" s="48"/>
      <c r="M57" s="48"/>
      <c r="N57" s="199"/>
      <c r="O57" s="32"/>
      <c r="P57" s="72"/>
      <c r="Q57" s="83"/>
    </row>
    <row r="58" spans="1:17" s="21" customFormat="1" ht="18.5" x14ac:dyDescent="0.45">
      <c r="A58" s="330" t="str">
        <f>IF(F58&lt;&gt;"",(LARGE(A$7:A57,1)+1),"")</f>
        <v/>
      </c>
      <c r="B58" s="164" t="s">
        <v>356</v>
      </c>
      <c r="C58" s="144"/>
      <c r="D58" s="51"/>
      <c r="E58" s="48"/>
      <c r="F58" s="199"/>
      <c r="G58" s="48"/>
      <c r="H58" s="48"/>
      <c r="I58" s="48"/>
      <c r="J58" s="199"/>
      <c r="K58" s="59"/>
      <c r="L58" s="48"/>
      <c r="M58" s="48"/>
      <c r="N58" s="199"/>
      <c r="O58" s="32"/>
      <c r="P58" s="72"/>
      <c r="Q58" s="73"/>
    </row>
    <row r="59" spans="1:17" s="21" customFormat="1" ht="18.5" x14ac:dyDescent="0.45">
      <c r="A59" s="330" t="str">
        <f>IF(F59&lt;&gt;"",(LARGE(A$7:A58,1)+1),"")</f>
        <v/>
      </c>
      <c r="B59" s="164"/>
      <c r="C59" s="144"/>
      <c r="D59" s="51"/>
      <c r="E59" s="48"/>
      <c r="F59" s="199"/>
      <c r="G59" s="48"/>
      <c r="H59" s="48"/>
      <c r="I59" s="48"/>
      <c r="J59" s="199"/>
      <c r="K59" s="59"/>
      <c r="L59" s="48"/>
      <c r="M59" s="48"/>
      <c r="N59" s="199"/>
      <c r="O59" s="32"/>
      <c r="P59" s="72"/>
      <c r="Q59" s="73"/>
    </row>
    <row r="60" spans="1:17" s="21" customFormat="1" ht="18.5" x14ac:dyDescent="0.45">
      <c r="A60" s="330">
        <f>IF(F60&lt;&gt;"",(LARGE(A$7:A59,1)+1),"")</f>
        <v>19</v>
      </c>
      <c r="B60" s="150" t="s">
        <v>370</v>
      </c>
      <c r="C60" s="332">
        <v>6</v>
      </c>
      <c r="D60" s="169" t="s">
        <v>12</v>
      </c>
      <c r="E60" s="333">
        <f t="shared" ref="E60:E72" si="19">G60+H60+J60+I60</f>
        <v>105.296875</v>
      </c>
      <c r="F60" s="334">
        <f t="shared" ref="F60:F72" si="20">E60*C60</f>
        <v>631.78125</v>
      </c>
      <c r="G60" s="48">
        <v>29.0625</v>
      </c>
      <c r="H60" s="48">
        <v>62.5</v>
      </c>
      <c r="I60" s="333">
        <f>IF(D60=0," ",(G60)*([1]Details!$C$4+[1]Details!$C$8))</f>
        <v>4.3593750000000009</v>
      </c>
      <c r="J60" s="334">
        <f>IF(D60=0," ",(H60)*([1]Details!$C$6+[1]Details!$C$8))</f>
        <v>9.3750000000000018</v>
      </c>
      <c r="K60" s="335">
        <f t="shared" ref="K60:K72" si="21">+G60*C60</f>
        <v>174.375</v>
      </c>
      <c r="L60" s="333">
        <f t="shared" ref="L60:L72" si="22">+H60*C60</f>
        <v>375</v>
      </c>
      <c r="M60" s="333">
        <f t="shared" ref="M60:M72" si="23">IF(D60=0," ",(I60*C60))</f>
        <v>26.156250000000007</v>
      </c>
      <c r="N60" s="334">
        <f t="shared" ref="N60:N72" si="24">IF(D60=0," ",(J60*C60))</f>
        <v>56.250000000000014</v>
      </c>
      <c r="O60" s="32"/>
      <c r="P60" s="72"/>
      <c r="Q60" s="73"/>
    </row>
    <row r="61" spans="1:17" s="21" customFormat="1" ht="18.5" x14ac:dyDescent="0.45">
      <c r="A61" s="330" t="str">
        <f>IF(F61&lt;&gt;"",(LARGE(A$7:A60,1)+1),"")</f>
        <v/>
      </c>
      <c r="B61" s="150"/>
      <c r="C61" s="332"/>
      <c r="D61" s="169"/>
      <c r="E61" s="333"/>
      <c r="F61" s="334"/>
      <c r="G61" s="48"/>
      <c r="H61" s="48"/>
      <c r="I61" s="333"/>
      <c r="J61" s="334"/>
      <c r="K61" s="335"/>
      <c r="L61" s="333"/>
      <c r="M61" s="333"/>
      <c r="N61" s="334"/>
      <c r="O61" s="32"/>
      <c r="P61" s="72"/>
      <c r="Q61" s="73"/>
    </row>
    <row r="62" spans="1:17" s="21" customFormat="1" ht="18.5" x14ac:dyDescent="0.45">
      <c r="A62" s="330">
        <f>IF(F62&lt;&gt;"",(LARGE(A$7:A61,1)+1),"")</f>
        <v>20</v>
      </c>
      <c r="B62" s="150" t="s">
        <v>371</v>
      </c>
      <c r="C62" s="332">
        <v>8</v>
      </c>
      <c r="D62" s="169" t="s">
        <v>12</v>
      </c>
      <c r="E62" s="333">
        <f t="shared" si="19"/>
        <v>117.090125</v>
      </c>
      <c r="F62" s="334">
        <f t="shared" si="20"/>
        <v>936.721</v>
      </c>
      <c r="G62" s="48">
        <v>32.317500000000003</v>
      </c>
      <c r="H62" s="48">
        <v>69.5</v>
      </c>
      <c r="I62" s="333">
        <f>IF(D62=0," ",(G62)*([1]Details!$C$4+[1]Details!$C$8))</f>
        <v>4.8476250000000007</v>
      </c>
      <c r="J62" s="334">
        <f>IF(D62=0," ",(H62)*([1]Details!$C$6+[1]Details!$C$8))</f>
        <v>10.425000000000001</v>
      </c>
      <c r="K62" s="335">
        <f t="shared" si="21"/>
        <v>258.54000000000002</v>
      </c>
      <c r="L62" s="333">
        <f t="shared" si="22"/>
        <v>556</v>
      </c>
      <c r="M62" s="333">
        <f t="shared" si="23"/>
        <v>38.781000000000006</v>
      </c>
      <c r="N62" s="334">
        <f t="shared" si="24"/>
        <v>83.4</v>
      </c>
      <c r="O62" s="32"/>
      <c r="P62" s="72"/>
      <c r="Q62" s="73"/>
    </row>
    <row r="63" spans="1:17" s="21" customFormat="1" ht="18.5" x14ac:dyDescent="0.45">
      <c r="A63" s="330" t="str">
        <f>IF(F63&lt;&gt;"",(LARGE(A$7:A62,1)+1),"")</f>
        <v/>
      </c>
      <c r="B63" s="150"/>
      <c r="C63" s="332"/>
      <c r="D63" s="169"/>
      <c r="E63" s="333"/>
      <c r="F63" s="334"/>
      <c r="G63" s="48"/>
      <c r="H63" s="48"/>
      <c r="I63" s="333"/>
      <c r="J63" s="334"/>
      <c r="K63" s="335"/>
      <c r="L63" s="333"/>
      <c r="M63" s="333"/>
      <c r="N63" s="334"/>
      <c r="O63" s="32"/>
      <c r="P63" s="72"/>
      <c r="Q63" s="73"/>
    </row>
    <row r="64" spans="1:17" s="21" customFormat="1" ht="18.5" x14ac:dyDescent="0.45">
      <c r="A64" s="330">
        <f>IF(F64&lt;&gt;"",(LARGE(A$7:A63,1)+1),"")</f>
        <v>21</v>
      </c>
      <c r="B64" s="150" t="s">
        <v>372</v>
      </c>
      <c r="C64" s="332">
        <v>17</v>
      </c>
      <c r="D64" s="169" t="s">
        <v>12</v>
      </c>
      <c r="E64" s="333">
        <f t="shared" si="19"/>
        <v>106.98162500000001</v>
      </c>
      <c r="F64" s="334">
        <f t="shared" si="20"/>
        <v>1818.687625</v>
      </c>
      <c r="G64" s="48">
        <v>29.5275</v>
      </c>
      <c r="H64" s="48">
        <v>63.5</v>
      </c>
      <c r="I64" s="333">
        <f>IF(D64=0," ",(G64)*([1]Details!$C$4+[1]Details!$C$8))</f>
        <v>4.4291250000000009</v>
      </c>
      <c r="J64" s="334">
        <f>IF(D64=0," ",(H64)*([1]Details!$C$6+[1]Details!$C$8))</f>
        <v>9.5250000000000021</v>
      </c>
      <c r="K64" s="335">
        <f t="shared" si="21"/>
        <v>501.96749999999997</v>
      </c>
      <c r="L64" s="333">
        <f t="shared" si="22"/>
        <v>1079.5</v>
      </c>
      <c r="M64" s="333">
        <f t="shared" si="23"/>
        <v>75.295125000000013</v>
      </c>
      <c r="N64" s="334">
        <f t="shared" si="24"/>
        <v>161.92500000000004</v>
      </c>
      <c r="O64" s="32"/>
      <c r="P64" s="72"/>
      <c r="Q64" s="73"/>
    </row>
    <row r="65" spans="1:17" s="21" customFormat="1" ht="18.5" x14ac:dyDescent="0.45">
      <c r="A65" s="330" t="str">
        <f>IF(F65&lt;&gt;"",(LARGE(A$7:A64,1)+1),"")</f>
        <v/>
      </c>
      <c r="B65" s="150"/>
      <c r="C65" s="332"/>
      <c r="D65" s="169"/>
      <c r="E65" s="333"/>
      <c r="F65" s="334"/>
      <c r="G65" s="48"/>
      <c r="H65" s="48"/>
      <c r="I65" s="333"/>
      <c r="J65" s="334"/>
      <c r="K65" s="335"/>
      <c r="L65" s="333"/>
      <c r="M65" s="333"/>
      <c r="N65" s="334"/>
      <c r="O65" s="32"/>
      <c r="P65" s="72"/>
      <c r="Q65" s="73"/>
    </row>
    <row r="66" spans="1:17" s="21" customFormat="1" ht="18.5" x14ac:dyDescent="0.45">
      <c r="A66" s="330">
        <f>IF(F66&lt;&gt;"",(LARGE(A$7:A65,1)+1),"")</f>
        <v>22</v>
      </c>
      <c r="B66" s="150" t="s">
        <v>373</v>
      </c>
      <c r="C66" s="332">
        <v>32</v>
      </c>
      <c r="D66" s="169" t="s">
        <v>12</v>
      </c>
      <c r="E66" s="333">
        <f t="shared" si="19"/>
        <v>100.242625</v>
      </c>
      <c r="F66" s="334">
        <f t="shared" si="20"/>
        <v>3207.7640000000001</v>
      </c>
      <c r="G66" s="48">
        <v>27.6675</v>
      </c>
      <c r="H66" s="48">
        <v>59.5</v>
      </c>
      <c r="I66" s="333">
        <f>IF(D66=0," ",(G66)*([1]Details!$C$4+[1]Details!$C$8))</f>
        <v>4.150125000000001</v>
      </c>
      <c r="J66" s="334">
        <f>IF(D66=0," ",(H66)*([1]Details!$C$6+[1]Details!$C$8))</f>
        <v>8.9250000000000007</v>
      </c>
      <c r="K66" s="335">
        <f t="shared" si="21"/>
        <v>885.36</v>
      </c>
      <c r="L66" s="333">
        <f t="shared" si="22"/>
        <v>1904</v>
      </c>
      <c r="M66" s="333">
        <f t="shared" si="23"/>
        <v>132.80400000000003</v>
      </c>
      <c r="N66" s="334">
        <f t="shared" si="24"/>
        <v>285.60000000000002</v>
      </c>
      <c r="O66" s="32"/>
      <c r="P66" s="72"/>
      <c r="Q66" s="73"/>
    </row>
    <row r="67" spans="1:17" s="21" customFormat="1" ht="18.5" x14ac:dyDescent="0.45">
      <c r="A67" s="330" t="str">
        <f>IF(F67&lt;&gt;"",(LARGE(A$7:A66,1)+1),"")</f>
        <v/>
      </c>
      <c r="B67" s="150"/>
      <c r="C67" s="332"/>
      <c r="D67" s="169"/>
      <c r="E67" s="333"/>
      <c r="F67" s="334"/>
      <c r="G67" s="48"/>
      <c r="H67" s="48"/>
      <c r="I67" s="333"/>
      <c r="J67" s="334"/>
      <c r="K67" s="335"/>
      <c r="L67" s="333"/>
      <c r="M67" s="333"/>
      <c r="N67" s="334"/>
      <c r="O67" s="32"/>
      <c r="P67" s="72"/>
      <c r="Q67" s="73"/>
    </row>
    <row r="68" spans="1:17" s="21" customFormat="1" ht="18.5" x14ac:dyDescent="0.45">
      <c r="A68" s="330">
        <f>IF(F68&lt;&gt;"",(LARGE(A$7:A67,1)+1),"")</f>
        <v>23</v>
      </c>
      <c r="B68" s="150" t="s">
        <v>370</v>
      </c>
      <c r="C68" s="332">
        <v>6</v>
      </c>
      <c r="D68" s="169" t="s">
        <v>12</v>
      </c>
      <c r="E68" s="333">
        <f t="shared" si="19"/>
        <v>105.296875</v>
      </c>
      <c r="F68" s="334">
        <f t="shared" si="20"/>
        <v>631.78125</v>
      </c>
      <c r="G68" s="48">
        <v>29.0625</v>
      </c>
      <c r="H68" s="48">
        <v>62.5</v>
      </c>
      <c r="I68" s="333">
        <f>IF(D68=0," ",(G68)*([1]Details!$C$4+[1]Details!$C$8))</f>
        <v>4.3593750000000009</v>
      </c>
      <c r="J68" s="334">
        <f>IF(D68=0," ",(H68)*([1]Details!$C$6+[1]Details!$C$8))</f>
        <v>9.3750000000000018</v>
      </c>
      <c r="K68" s="335">
        <f t="shared" si="21"/>
        <v>174.375</v>
      </c>
      <c r="L68" s="333">
        <f t="shared" si="22"/>
        <v>375</v>
      </c>
      <c r="M68" s="333">
        <f t="shared" si="23"/>
        <v>26.156250000000007</v>
      </c>
      <c r="N68" s="334">
        <f t="shared" si="24"/>
        <v>56.250000000000014</v>
      </c>
      <c r="O68" s="32"/>
      <c r="P68" s="72"/>
      <c r="Q68" s="73"/>
    </row>
    <row r="69" spans="1:17" s="21" customFormat="1" ht="18.5" x14ac:dyDescent="0.45">
      <c r="A69" s="330" t="str">
        <f>IF(F69&lt;&gt;"",(LARGE(A$7:A68,1)+1),"")</f>
        <v/>
      </c>
      <c r="B69" s="150"/>
      <c r="C69" s="332"/>
      <c r="D69" s="169"/>
      <c r="E69" s="333"/>
      <c r="F69" s="334"/>
      <c r="G69" s="48"/>
      <c r="H69" s="48"/>
      <c r="I69" s="333"/>
      <c r="J69" s="334"/>
      <c r="K69" s="335"/>
      <c r="L69" s="333"/>
      <c r="M69" s="333"/>
      <c r="N69" s="334"/>
      <c r="O69" s="32"/>
      <c r="P69" s="72"/>
      <c r="Q69" s="73"/>
    </row>
    <row r="70" spans="1:17" s="21" customFormat="1" ht="18.5" x14ac:dyDescent="0.45">
      <c r="A70" s="330">
        <f>IF(F70&lt;&gt;"",(LARGE(A$7:A69,1)+1),"")</f>
        <v>24</v>
      </c>
      <c r="B70" s="150" t="s">
        <v>374</v>
      </c>
      <c r="C70" s="332">
        <v>33</v>
      </c>
      <c r="D70" s="169" t="s">
        <v>12</v>
      </c>
      <c r="E70" s="333">
        <f t="shared" si="19"/>
        <v>132.25287500000002</v>
      </c>
      <c r="F70" s="334">
        <f t="shared" si="20"/>
        <v>4364.3448750000007</v>
      </c>
      <c r="G70" s="48">
        <v>36.502500000000005</v>
      </c>
      <c r="H70" s="48">
        <v>78.5</v>
      </c>
      <c r="I70" s="333">
        <f>IF(D70=0," ",(G70)*([1]Details!$C$4+[1]Details!$C$8))</f>
        <v>5.4753750000000014</v>
      </c>
      <c r="J70" s="334">
        <f>IF(D70=0," ",(H70)*([1]Details!$C$6+[1]Details!$C$8))</f>
        <v>11.775000000000002</v>
      </c>
      <c r="K70" s="335">
        <f t="shared" si="21"/>
        <v>1204.5825000000002</v>
      </c>
      <c r="L70" s="333">
        <f t="shared" si="22"/>
        <v>2590.5</v>
      </c>
      <c r="M70" s="333">
        <f t="shared" si="23"/>
        <v>180.68737500000006</v>
      </c>
      <c r="N70" s="334">
        <f t="shared" si="24"/>
        <v>388.57500000000005</v>
      </c>
      <c r="O70" s="32"/>
      <c r="P70" s="72"/>
      <c r="Q70" s="73"/>
    </row>
    <row r="71" spans="1:17" s="21" customFormat="1" ht="18.5" x14ac:dyDescent="0.45">
      <c r="A71" s="330" t="str">
        <f>IF(F71&lt;&gt;"",(LARGE(A$7:A70,1)+1),"")</f>
        <v/>
      </c>
      <c r="B71" s="150"/>
      <c r="C71" s="332"/>
      <c r="D71" s="169"/>
      <c r="E71" s="333"/>
      <c r="F71" s="334"/>
      <c r="G71" s="48"/>
      <c r="H71" s="48"/>
      <c r="I71" s="333"/>
      <c r="J71" s="334"/>
      <c r="K71" s="335"/>
      <c r="L71" s="333"/>
      <c r="M71" s="333"/>
      <c r="N71" s="334"/>
      <c r="O71" s="32"/>
      <c r="P71" s="72"/>
      <c r="Q71" s="73"/>
    </row>
    <row r="72" spans="1:17" s="21" customFormat="1" ht="18.5" x14ac:dyDescent="0.45">
      <c r="A72" s="330">
        <f>IF(F72&lt;&gt;"",(LARGE(A$7:A71,1)+1),"")</f>
        <v>25</v>
      </c>
      <c r="B72" s="150" t="s">
        <v>375</v>
      </c>
      <c r="C72" s="332">
        <v>6</v>
      </c>
      <c r="D72" s="169" t="s">
        <v>12</v>
      </c>
      <c r="E72" s="333">
        <f t="shared" si="19"/>
        <v>142.36137500000001</v>
      </c>
      <c r="F72" s="334">
        <f t="shared" si="20"/>
        <v>854.16825000000006</v>
      </c>
      <c r="G72" s="48">
        <v>39.292500000000004</v>
      </c>
      <c r="H72" s="48">
        <v>84.5</v>
      </c>
      <c r="I72" s="333">
        <f>IF(D72=0," ",(G72)*([1]Details!$C$4+[1]Details!$C$8))</f>
        <v>5.8938750000000013</v>
      </c>
      <c r="J72" s="334">
        <f>IF(D72=0," ",(H72)*([1]Details!$C$6+[1]Details!$C$8))</f>
        <v>12.675000000000002</v>
      </c>
      <c r="K72" s="335">
        <f t="shared" si="21"/>
        <v>235.75500000000002</v>
      </c>
      <c r="L72" s="333">
        <f t="shared" si="22"/>
        <v>507</v>
      </c>
      <c r="M72" s="333">
        <f t="shared" si="23"/>
        <v>35.363250000000008</v>
      </c>
      <c r="N72" s="334">
        <f t="shared" si="24"/>
        <v>76.050000000000011</v>
      </c>
      <c r="O72" s="32"/>
      <c r="P72" s="72"/>
      <c r="Q72" s="73"/>
    </row>
    <row r="73" spans="1:17" s="21" customFormat="1" ht="18.5" x14ac:dyDescent="0.45">
      <c r="A73" s="330" t="str">
        <f>IF(F73&lt;&gt;"",(LARGE(A$7:A72,1)+1),"")</f>
        <v/>
      </c>
      <c r="B73" s="38"/>
      <c r="C73" s="144"/>
      <c r="D73" s="51"/>
      <c r="E73" s="48"/>
      <c r="F73" s="199"/>
      <c r="G73" s="48"/>
      <c r="H73" s="48"/>
      <c r="I73" s="48"/>
      <c r="J73" s="199"/>
      <c r="K73" s="59"/>
      <c r="L73" s="48"/>
      <c r="M73" s="48"/>
      <c r="N73" s="199"/>
      <c r="O73" s="20"/>
      <c r="P73" s="72"/>
      <c r="Q73" s="73"/>
    </row>
    <row r="74" spans="1:17" s="21" customFormat="1" ht="18.5" x14ac:dyDescent="0.45">
      <c r="A74" s="330" t="str">
        <f>IF(F74&lt;&gt;"",(LARGE(A$7:A73,1)+1),"")</f>
        <v/>
      </c>
      <c r="B74" s="164" t="s">
        <v>376</v>
      </c>
      <c r="C74" s="144"/>
      <c r="D74" s="60"/>
      <c r="E74" s="48"/>
      <c r="F74" s="199"/>
      <c r="G74" s="48"/>
      <c r="H74" s="48"/>
      <c r="I74" s="48"/>
      <c r="J74" s="199"/>
      <c r="K74" s="59"/>
      <c r="L74" s="48"/>
      <c r="M74" s="48"/>
      <c r="N74" s="199"/>
      <c r="O74" s="20"/>
      <c r="P74" s="20"/>
    </row>
    <row r="75" spans="1:17" s="21" customFormat="1" ht="18.5" x14ac:dyDescent="0.45">
      <c r="A75" s="330" t="str">
        <f>IF(F75&lt;&gt;"",(LARGE(A$7:A74,1)+1),"")</f>
        <v/>
      </c>
      <c r="B75" s="164"/>
      <c r="C75" s="144"/>
      <c r="D75" s="60"/>
      <c r="E75" s="48"/>
      <c r="F75" s="199"/>
      <c r="G75" s="48"/>
      <c r="H75" s="48"/>
      <c r="I75" s="48"/>
      <c r="J75" s="199"/>
      <c r="K75" s="59"/>
      <c r="L75" s="48"/>
      <c r="M75" s="48"/>
      <c r="N75" s="199"/>
      <c r="O75" s="20"/>
      <c r="P75" s="20"/>
    </row>
    <row r="76" spans="1:17" s="21" customFormat="1" ht="18.5" x14ac:dyDescent="0.45">
      <c r="A76" s="330">
        <f>IF(F76&lt;&gt;"",(LARGE(A$7:A75,1)+1),"")</f>
        <v>26</v>
      </c>
      <c r="B76" s="150" t="s">
        <v>377</v>
      </c>
      <c r="C76" s="332">
        <v>2</v>
      </c>
      <c r="D76" s="169" t="s">
        <v>12</v>
      </c>
      <c r="E76" s="333">
        <f t="shared" ref="E76:E84" si="25">G76+H76+J76+I76</f>
        <v>581.2387500000001</v>
      </c>
      <c r="F76" s="334">
        <f t="shared" ref="F76:F84" si="26">E76*C76</f>
        <v>1162.4775000000002</v>
      </c>
      <c r="G76" s="48">
        <v>160.42500000000001</v>
      </c>
      <c r="H76" s="48">
        <v>345</v>
      </c>
      <c r="I76" s="333">
        <f>IF(D76=0," ",(G76)*([1]Details!$C$4+[1]Details!$C$8))</f>
        <v>24.063750000000006</v>
      </c>
      <c r="J76" s="334">
        <f>IF(D76=0," ",(H76)*([1]Details!$C$6+[1]Details!$C$8))</f>
        <v>51.750000000000007</v>
      </c>
      <c r="K76" s="335">
        <f t="shared" ref="K76:K84" si="27">+G76*C76</f>
        <v>320.85000000000002</v>
      </c>
      <c r="L76" s="333">
        <f t="shared" ref="L76:L84" si="28">+H76*C76</f>
        <v>690</v>
      </c>
      <c r="M76" s="333">
        <f t="shared" ref="M76:M84" si="29">IF(D76=0," ",(I76*C76))</f>
        <v>48.127500000000012</v>
      </c>
      <c r="N76" s="334">
        <f t="shared" ref="N76:N84" si="30">IF(D76=0," ",(J76*C76))</f>
        <v>103.50000000000001</v>
      </c>
      <c r="O76" s="20"/>
      <c r="P76" s="20"/>
    </row>
    <row r="77" spans="1:17" s="21" customFormat="1" ht="18.5" x14ac:dyDescent="0.45">
      <c r="A77" s="330" t="str">
        <f>IF(F77&lt;&gt;"",(LARGE(A$7:A76,1)+1),"")</f>
        <v/>
      </c>
      <c r="B77" s="150"/>
      <c r="C77" s="332"/>
      <c r="D77" s="169"/>
      <c r="E77" s="333"/>
      <c r="F77" s="334"/>
      <c r="G77" s="48"/>
      <c r="H77" s="48"/>
      <c r="I77" s="333"/>
      <c r="J77" s="334"/>
      <c r="K77" s="335"/>
      <c r="L77" s="333"/>
      <c r="M77" s="333"/>
      <c r="N77" s="334"/>
      <c r="O77" s="20"/>
      <c r="P77" s="20"/>
    </row>
    <row r="78" spans="1:17" s="21" customFormat="1" ht="18.5" x14ac:dyDescent="0.45">
      <c r="A78" s="330">
        <f>IF(F78&lt;&gt;"",(LARGE(A$7:A77,1)+1),"")</f>
        <v>27</v>
      </c>
      <c r="B78" s="150" t="s">
        <v>378</v>
      </c>
      <c r="C78" s="332">
        <v>1</v>
      </c>
      <c r="D78" s="169" t="s">
        <v>12</v>
      </c>
      <c r="E78" s="333">
        <f t="shared" si="25"/>
        <v>446.45875000000001</v>
      </c>
      <c r="F78" s="334">
        <f t="shared" si="26"/>
        <v>446.45875000000001</v>
      </c>
      <c r="G78" s="48">
        <v>123.22500000000001</v>
      </c>
      <c r="H78" s="48">
        <v>265</v>
      </c>
      <c r="I78" s="333">
        <f>IF(D78=0," ",(G78)*([1]Details!$C$4+[1]Details!$C$8))</f>
        <v>18.483750000000004</v>
      </c>
      <c r="J78" s="334">
        <f>IF(D78=0," ",(H78)*([1]Details!$C$6+[1]Details!$C$8))</f>
        <v>39.750000000000007</v>
      </c>
      <c r="K78" s="335">
        <f t="shared" si="27"/>
        <v>123.22500000000001</v>
      </c>
      <c r="L78" s="333">
        <f t="shared" si="28"/>
        <v>265</v>
      </c>
      <c r="M78" s="333">
        <f t="shared" si="29"/>
        <v>18.483750000000004</v>
      </c>
      <c r="N78" s="334">
        <f t="shared" si="30"/>
        <v>39.750000000000007</v>
      </c>
      <c r="O78" s="20"/>
      <c r="P78" s="20"/>
    </row>
    <row r="79" spans="1:17" s="21" customFormat="1" ht="18.5" x14ac:dyDescent="0.45">
      <c r="A79" s="330" t="str">
        <f>IF(F79&lt;&gt;"",(LARGE(A$7:A78,1)+1),"")</f>
        <v/>
      </c>
      <c r="B79" s="150"/>
      <c r="C79" s="332"/>
      <c r="D79" s="169"/>
      <c r="E79" s="333"/>
      <c r="F79" s="334"/>
      <c r="G79" s="48"/>
      <c r="H79" s="48"/>
      <c r="I79" s="333"/>
      <c r="J79" s="334"/>
      <c r="K79" s="335"/>
      <c r="L79" s="333"/>
      <c r="M79" s="333"/>
      <c r="N79" s="334"/>
      <c r="O79" s="20"/>
      <c r="P79" s="20"/>
    </row>
    <row r="80" spans="1:17" s="21" customFormat="1" ht="18.5" x14ac:dyDescent="0.45">
      <c r="A80" s="330">
        <f>IF(F80&lt;&gt;"",(LARGE(A$7:A79,1)+1),"")</f>
        <v>28</v>
      </c>
      <c r="B80" s="150" t="s">
        <v>402</v>
      </c>
      <c r="C80" s="332">
        <v>1</v>
      </c>
      <c r="D80" s="169" t="s">
        <v>12</v>
      </c>
      <c r="E80" s="333">
        <f t="shared" si="25"/>
        <v>648.62874999999997</v>
      </c>
      <c r="F80" s="334">
        <f t="shared" si="26"/>
        <v>648.62874999999997</v>
      </c>
      <c r="G80" s="48">
        <v>179.02500000000001</v>
      </c>
      <c r="H80" s="48">
        <v>385</v>
      </c>
      <c r="I80" s="333">
        <f>IF(D80=0," ",(G80)*([1]Details!$C$4+[1]Details!$C$8))</f>
        <v>26.853750000000005</v>
      </c>
      <c r="J80" s="334">
        <f>IF(D80=0," ",(H80)*([1]Details!$C$6+[1]Details!$C$8))</f>
        <v>57.750000000000007</v>
      </c>
      <c r="K80" s="335">
        <f t="shared" si="27"/>
        <v>179.02500000000001</v>
      </c>
      <c r="L80" s="333">
        <f t="shared" si="28"/>
        <v>385</v>
      </c>
      <c r="M80" s="333">
        <f t="shared" si="29"/>
        <v>26.853750000000005</v>
      </c>
      <c r="N80" s="334">
        <f t="shared" si="30"/>
        <v>57.750000000000007</v>
      </c>
      <c r="O80" s="20"/>
      <c r="P80" s="20"/>
    </row>
    <row r="81" spans="1:18" s="21" customFormat="1" ht="18.5" x14ac:dyDescent="0.45">
      <c r="A81" s="330" t="str">
        <f>IF(F81&lt;&gt;"",(LARGE(A$7:A80,1)+1),"")</f>
        <v/>
      </c>
      <c r="B81" s="150"/>
      <c r="C81" s="332"/>
      <c r="D81" s="169"/>
      <c r="E81" s="333"/>
      <c r="F81" s="334"/>
      <c r="G81" s="48"/>
      <c r="H81" s="48"/>
      <c r="I81" s="333"/>
      <c r="J81" s="334"/>
      <c r="K81" s="335"/>
      <c r="L81" s="333"/>
      <c r="M81" s="333"/>
      <c r="N81" s="334"/>
      <c r="O81" s="20"/>
      <c r="P81" s="20"/>
    </row>
    <row r="82" spans="1:18" s="21" customFormat="1" ht="18.5" x14ac:dyDescent="0.45">
      <c r="A82" s="330">
        <f>IF(F82&lt;&gt;"",(LARGE(A$7:A81,1)+1),"")</f>
        <v>29</v>
      </c>
      <c r="B82" s="150" t="s">
        <v>379</v>
      </c>
      <c r="C82" s="332">
        <v>2</v>
      </c>
      <c r="D82" s="169" t="s">
        <v>12</v>
      </c>
      <c r="E82" s="333">
        <f t="shared" si="25"/>
        <v>1457.3087499999999</v>
      </c>
      <c r="F82" s="334">
        <f t="shared" si="26"/>
        <v>2914.6174999999998</v>
      </c>
      <c r="G82" s="48">
        <v>402.22500000000002</v>
      </c>
      <c r="H82" s="48">
        <v>865</v>
      </c>
      <c r="I82" s="333">
        <f>IF(D82=0," ",(G82)*([1]Details!$C$4+[1]Details!$C$8))</f>
        <v>60.333750000000009</v>
      </c>
      <c r="J82" s="334">
        <f>IF(D82=0," ",(H82)*([1]Details!$C$6+[1]Details!$C$8))</f>
        <v>129.75000000000003</v>
      </c>
      <c r="K82" s="335">
        <f t="shared" si="27"/>
        <v>804.45</v>
      </c>
      <c r="L82" s="333">
        <f t="shared" si="28"/>
        <v>1730</v>
      </c>
      <c r="M82" s="333">
        <f t="shared" si="29"/>
        <v>120.66750000000002</v>
      </c>
      <c r="N82" s="334">
        <f t="shared" si="30"/>
        <v>259.50000000000006</v>
      </c>
      <c r="O82" s="20"/>
      <c r="P82" s="20"/>
    </row>
    <row r="83" spans="1:18" s="21" customFormat="1" ht="18.5" x14ac:dyDescent="0.45">
      <c r="A83" s="330" t="str">
        <f>IF(F83&lt;&gt;"",(LARGE(A$7:A82,1)+1),"")</f>
        <v/>
      </c>
      <c r="B83" s="150"/>
      <c r="C83" s="332"/>
      <c r="D83" s="169"/>
      <c r="E83" s="333"/>
      <c r="F83" s="334"/>
      <c r="G83" s="48"/>
      <c r="H83" s="48"/>
      <c r="I83" s="333"/>
      <c r="J83" s="334"/>
      <c r="K83" s="335"/>
      <c r="L83" s="333"/>
      <c r="M83" s="333"/>
      <c r="N83" s="334"/>
      <c r="O83" s="20"/>
      <c r="P83" s="20"/>
    </row>
    <row r="84" spans="1:18" s="21" customFormat="1" ht="18.5" x14ac:dyDescent="0.45">
      <c r="A84" s="330">
        <f>IF(F84&lt;&gt;"",(LARGE(A$7:A83,1)+1),"")</f>
        <v>30</v>
      </c>
      <c r="B84" s="150" t="s">
        <v>380</v>
      </c>
      <c r="C84" s="332">
        <v>1</v>
      </c>
      <c r="D84" s="169" t="s">
        <v>12</v>
      </c>
      <c r="E84" s="333">
        <f t="shared" si="25"/>
        <v>98.55787500000001</v>
      </c>
      <c r="F84" s="334">
        <f t="shared" si="26"/>
        <v>98.55787500000001</v>
      </c>
      <c r="G84" s="48">
        <v>27.202500000000001</v>
      </c>
      <c r="H84" s="48">
        <v>58.5</v>
      </c>
      <c r="I84" s="333">
        <f>IF(D84=0," ",(G84)*([1]Details!$C$4+[1]Details!$C$8))</f>
        <v>4.080375000000001</v>
      </c>
      <c r="J84" s="334">
        <f>IF(D84=0," ",(H84)*([1]Details!$C$6+[1]Details!$C$8))</f>
        <v>8.7750000000000021</v>
      </c>
      <c r="K84" s="335">
        <f t="shared" si="27"/>
        <v>27.202500000000001</v>
      </c>
      <c r="L84" s="333">
        <f t="shared" si="28"/>
        <v>58.5</v>
      </c>
      <c r="M84" s="333">
        <f t="shared" si="29"/>
        <v>4.080375000000001</v>
      </c>
      <c r="N84" s="334">
        <f t="shared" si="30"/>
        <v>8.7750000000000021</v>
      </c>
      <c r="O84" s="20"/>
      <c r="P84" s="20"/>
    </row>
    <row r="85" spans="1:18" s="21" customFormat="1" ht="18.5" x14ac:dyDescent="0.45">
      <c r="A85" s="330" t="str">
        <f>IF(F85&lt;&gt;"",(LARGE(A$7:A84,1)+1),"")</f>
        <v/>
      </c>
      <c r="B85" s="151"/>
      <c r="C85" s="144"/>
      <c r="D85" s="51"/>
      <c r="E85" s="48"/>
      <c r="F85" s="199"/>
      <c r="G85" s="59"/>
      <c r="H85" s="48"/>
      <c r="I85" s="48"/>
      <c r="J85" s="199"/>
      <c r="K85" s="59"/>
      <c r="L85" s="48"/>
      <c r="M85" s="48"/>
      <c r="N85" s="199"/>
      <c r="O85" s="20"/>
      <c r="P85" s="20"/>
    </row>
    <row r="86" spans="1:18" s="21" customFormat="1" ht="16.5" customHeight="1" x14ac:dyDescent="0.45">
      <c r="A86" s="330" t="str">
        <f>IF(F86&lt;&gt;"",(LARGE(A$7:A85,1)+1),"")</f>
        <v/>
      </c>
      <c r="B86" s="151"/>
      <c r="C86" s="144"/>
      <c r="D86" s="51"/>
      <c r="E86" s="48"/>
      <c r="F86" s="199"/>
      <c r="G86" s="59"/>
      <c r="H86" s="48"/>
      <c r="I86" s="48"/>
      <c r="J86" s="199" t="str">
        <f>IF(D86=0," ",(G86+H86)*(Details!$C$4+Details!$C$6))</f>
        <v xml:space="preserve"> </v>
      </c>
      <c r="K86" s="59"/>
      <c r="L86" s="48"/>
      <c r="M86" s="48"/>
      <c r="N86" s="199"/>
      <c r="O86" s="20"/>
      <c r="P86" s="72" t="s">
        <v>125</v>
      </c>
    </row>
    <row r="87" spans="1:18" s="21" customFormat="1" ht="19" thickBot="1" x14ac:dyDescent="0.5">
      <c r="A87" s="75"/>
      <c r="B87" s="160"/>
      <c r="C87" s="52"/>
      <c r="D87" s="60"/>
      <c r="E87" s="62" t="s">
        <v>97</v>
      </c>
      <c r="F87" s="200">
        <f>SUM(F8:F86)</f>
        <v>55331.166010000008</v>
      </c>
      <c r="G87" s="59"/>
      <c r="H87" s="48"/>
      <c r="I87" s="48"/>
      <c r="J87" s="199" t="str">
        <f>IF(D87=0," ",(G87+H87)*(Details!$C$4+Details!$C$6))</f>
        <v xml:space="preserve"> </v>
      </c>
      <c r="K87" s="200">
        <f>SUM(K8:K86)</f>
        <v>15271.697400000005</v>
      </c>
      <c r="L87" s="200">
        <f>SUM(L8:L86)</f>
        <v>32842.36</v>
      </c>
      <c r="M87" s="200">
        <f>SUM(M8:M86)</f>
        <v>2290.7546100000004</v>
      </c>
      <c r="N87" s="200">
        <f>SUM(N8:N86)</f>
        <v>4926.3540000000003</v>
      </c>
      <c r="O87" s="20"/>
      <c r="P87" s="72">
        <f>+F87-K87-L87-N87-M87</f>
        <v>0</v>
      </c>
      <c r="R87" s="55"/>
    </row>
    <row r="88" spans="1:18" s="21" customFormat="1" ht="19.5" thickTop="1" thickBot="1" x14ac:dyDescent="0.5">
      <c r="A88" s="161" t="str">
        <f>IF(F88&lt;&gt;"",(LARGE(A$7:A87,1)+1),"")</f>
        <v/>
      </c>
      <c r="B88" s="162"/>
      <c r="C88" s="163"/>
      <c r="D88" s="63"/>
      <c r="E88" s="65"/>
      <c r="F88" s="67"/>
      <c r="G88" s="66"/>
      <c r="H88" s="65"/>
      <c r="I88" s="65"/>
      <c r="J88" s="67" t="str">
        <f>IF(D88=0," ",(G88+H88)*(Details!$C$4+Details!$C$6))</f>
        <v xml:space="preserve"> </v>
      </c>
      <c r="K88" s="227"/>
      <c r="L88" s="227"/>
      <c r="M88" s="227"/>
      <c r="N88" s="187"/>
      <c r="O88" s="20"/>
      <c r="P88" s="20"/>
      <c r="R88" s="55"/>
    </row>
  </sheetData>
  <mergeCells count="4">
    <mergeCell ref="G5:J5"/>
    <mergeCell ref="K5:N5"/>
    <mergeCell ref="O20:P20"/>
    <mergeCell ref="O21:P21"/>
  </mergeCells>
  <conditionalFormatting sqref="G8:G10583">
    <cfRule type="notContainsBlanks" dxfId="21" priority="1">
      <formula>LEN(TRIM(G8))&gt;0</formula>
    </cfRule>
  </conditionalFormatting>
  <conditionalFormatting sqref="H10:H19">
    <cfRule type="notContainsBlanks" dxfId="20" priority="7">
      <formula>LEN(TRIM(H10))&gt;0</formula>
    </cfRule>
  </conditionalFormatting>
  <conditionalFormatting sqref="H22:H28">
    <cfRule type="notContainsBlanks" dxfId="19" priority="6">
      <formula>LEN(TRIM(H22))&gt;0</formula>
    </cfRule>
  </conditionalFormatting>
  <conditionalFormatting sqref="H32:H40">
    <cfRule type="notContainsBlanks" dxfId="18" priority="5">
      <formula>LEN(TRIM(H32))&gt;0</formula>
    </cfRule>
  </conditionalFormatting>
  <conditionalFormatting sqref="H44:H56">
    <cfRule type="notContainsBlanks" dxfId="17" priority="4">
      <formula>LEN(TRIM(H44))&gt;0</formula>
    </cfRule>
  </conditionalFormatting>
  <conditionalFormatting sqref="H60:H72">
    <cfRule type="notContainsBlanks" dxfId="16" priority="3">
      <formula>LEN(TRIM(H60))&gt;0</formula>
    </cfRule>
  </conditionalFormatting>
  <conditionalFormatting sqref="H76:H84">
    <cfRule type="notContainsBlanks" dxfId="15" priority="2">
      <formula>LEN(TRIM(H76))&gt;0</formula>
    </cfRule>
  </conditionalFormatting>
  <conditionalFormatting sqref="H8:I9 I10 H41:I43 H57:I59 H73:I75">
    <cfRule type="notContainsBlanks" dxfId="14" priority="9">
      <formula>LEN(TRIM(H8))&gt;0</formula>
    </cfRule>
  </conditionalFormatting>
  <conditionalFormatting sqref="H20:I21 H29:I31 H85:I10583">
    <cfRule type="notContainsBlanks" dxfId="13" priority="8">
      <formula>LEN(TRIM(H20))&gt;0</formula>
    </cfRule>
  </conditionalFormatting>
  <conditionalFormatting sqref="P42">
    <cfRule type="cellIs" dxfId="12" priority="10" operator="notEqual">
      <formula>0</formula>
    </cfRule>
    <cfRule type="cellIs" dxfId="11" priority="11" operator="equal">
      <formula>0</formula>
    </cfRule>
  </conditionalFormatting>
  <conditionalFormatting sqref="P87">
    <cfRule type="cellIs" dxfId="10" priority="30" operator="equal">
      <formula>0</formula>
    </cfRule>
    <cfRule type="cellIs" dxfId="9" priority="31" operator="notBetween">
      <formula>-0.01</formula>
      <formula>0.01</formula>
    </cfRule>
  </conditionalFormatting>
  <dataValidations count="1">
    <dataValidation type="list" allowBlank="1" showInputMessage="1" showErrorMessage="1" sqref="O20:P20" xr:uid="{00000000-0002-0000-11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>
    <pageSetUpPr fitToPage="1"/>
  </sheetPr>
  <dimension ref="A1:P20"/>
  <sheetViews>
    <sheetView zoomScale="70" zoomScaleNormal="70" workbookViewId="0">
      <selection activeCell="N20" sqref="N20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0"/>
      <c r="D1" s="24"/>
      <c r="E1" s="33"/>
      <c r="F1" s="34"/>
      <c r="G1" s="33"/>
      <c r="H1" s="33"/>
      <c r="I1" s="33"/>
      <c r="J1" s="24"/>
    </row>
    <row r="2" spans="1:14" x14ac:dyDescent="0.35">
      <c r="A2" s="15"/>
      <c r="B2" s="3" t="str">
        <f>'Qual, Excl &amp; Assum'!B2</f>
        <v>PROJECT NAME: SQUAIRRELS LEAP GUILDFORD ROAD, CHERTSEY KT16 9RU</v>
      </c>
      <c r="F2" s="35"/>
      <c r="J2" s="16"/>
    </row>
    <row r="3" spans="1:14" x14ac:dyDescent="0.35">
      <c r="A3" s="15"/>
      <c r="B3" s="53" t="str">
        <f>'Qual, Excl &amp; Assum'!B3</f>
        <v>DATE: 25TH NOVEMBER 2025</v>
      </c>
      <c r="F3" s="35"/>
      <c r="J3" s="16"/>
    </row>
    <row r="4" spans="1:14" s="21" customFormat="1" ht="16" thickBot="1" x14ac:dyDescent="0.4">
      <c r="A4" s="15"/>
      <c r="B4" s="22"/>
      <c r="C4" s="28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4">
      <c r="A5" s="206"/>
      <c r="B5" s="207" t="s">
        <v>45</v>
      </c>
      <c r="C5" s="211"/>
      <c r="D5" s="209"/>
      <c r="E5" s="210"/>
      <c r="F5" s="216"/>
      <c r="G5" s="359" t="s">
        <v>121</v>
      </c>
      <c r="H5" s="360"/>
      <c r="I5" s="360"/>
      <c r="J5" s="361"/>
      <c r="K5" s="359" t="s">
        <v>122</v>
      </c>
      <c r="L5" s="360"/>
      <c r="M5" s="360"/>
      <c r="N5" s="361"/>
    </row>
    <row r="6" spans="1:14" s="21" customFormat="1" ht="18.5" x14ac:dyDescent="0.45">
      <c r="A6" s="49"/>
      <c r="B6" s="38"/>
      <c r="C6" s="52"/>
      <c r="D6" s="38"/>
      <c r="E6" s="64"/>
      <c r="F6" s="197"/>
      <c r="G6" s="251"/>
      <c r="H6" s="64"/>
      <c r="I6" s="64"/>
      <c r="J6" s="202"/>
      <c r="K6" s="214"/>
      <c r="L6" s="20"/>
      <c r="M6" s="20"/>
      <c r="N6" s="27"/>
    </row>
    <row r="7" spans="1:14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262" t="s">
        <v>393</v>
      </c>
      <c r="H7" s="262" t="s">
        <v>27</v>
      </c>
      <c r="I7" s="262" t="s">
        <v>156</v>
      </c>
      <c r="J7" s="263" t="s">
        <v>157</v>
      </c>
      <c r="K7" s="262" t="s">
        <v>393</v>
      </c>
      <c r="L7" s="262" t="s">
        <v>27</v>
      </c>
      <c r="M7" s="262" t="s">
        <v>156</v>
      </c>
      <c r="N7" s="263" t="s">
        <v>157</v>
      </c>
    </row>
    <row r="8" spans="1:14" s="21" customFormat="1" ht="18.5" x14ac:dyDescent="0.45">
      <c r="A8" s="49"/>
      <c r="B8" s="158"/>
      <c r="C8" s="147"/>
      <c r="D8" s="61"/>
      <c r="E8" s="62"/>
      <c r="F8" s="198"/>
      <c r="G8" s="59"/>
      <c r="H8" s="48"/>
      <c r="I8" s="48"/>
      <c r="J8" s="203"/>
      <c r="K8" s="214"/>
      <c r="L8" s="20"/>
      <c r="M8" s="20"/>
      <c r="N8" s="199" t="str">
        <f t="shared" ref="N8" si="0">IF(D8=0," ",(J8*C8))</f>
        <v xml:space="preserve"> </v>
      </c>
    </row>
    <row r="9" spans="1:14" s="21" customFormat="1" ht="18.5" x14ac:dyDescent="0.45">
      <c r="A9" s="75" t="str">
        <f>IF(F9&lt;&gt;"",(LARGE(#REF!,1)+1),"")</f>
        <v/>
      </c>
      <c r="B9" s="159" t="s">
        <v>188</v>
      </c>
      <c r="C9" s="144"/>
      <c r="D9" s="60"/>
      <c r="E9" s="48"/>
      <c r="F9" s="199"/>
      <c r="G9" s="59"/>
      <c r="H9" s="48"/>
      <c r="I9" s="48"/>
      <c r="J9" s="199"/>
      <c r="K9" s="214"/>
      <c r="L9" s="20"/>
      <c r="M9" s="20"/>
      <c r="N9" s="199"/>
    </row>
    <row r="10" spans="1:14" s="21" customFormat="1" ht="18.5" x14ac:dyDescent="0.45">
      <c r="A10" s="75" t="str">
        <f>IF(F10&lt;&gt;"",(LARGE(A$9:A9,1)+1),"")</f>
        <v/>
      </c>
      <c r="B10" s="151"/>
      <c r="C10" s="144"/>
      <c r="D10" s="60"/>
      <c r="E10" s="48"/>
      <c r="F10" s="199"/>
      <c r="G10" s="59"/>
      <c r="H10" s="48"/>
      <c r="I10" s="48"/>
      <c r="J10" s="199"/>
      <c r="K10" s="214"/>
      <c r="L10" s="20"/>
      <c r="M10" s="20"/>
      <c r="N10" s="199"/>
    </row>
    <row r="11" spans="1:14" s="21" customFormat="1" ht="18.5" x14ac:dyDescent="0.45">
      <c r="A11" s="75">
        <v>1</v>
      </c>
      <c r="B11" s="151" t="s">
        <v>381</v>
      </c>
      <c r="C11" s="144">
        <v>6</v>
      </c>
      <c r="D11" s="51" t="s">
        <v>12</v>
      </c>
      <c r="E11" s="48">
        <f>G11+H11+J11+I11</f>
        <v>1288.83375</v>
      </c>
      <c r="F11" s="199">
        <f>E11*C11</f>
        <v>7733.0025000000005</v>
      </c>
      <c r="G11" s="48">
        <v>355.72500000000002</v>
      </c>
      <c r="H11" s="48">
        <v>765</v>
      </c>
      <c r="I11" s="48">
        <f>IF(D11=0," ",(G11)*([1]Details!$C$4+[1]Details!$C$8))</f>
        <v>53.358750000000015</v>
      </c>
      <c r="J11" s="199">
        <f>IF(D11=0," ",(H11)*([1]Details!$C$6+[1]Details!$C$8))</f>
        <v>114.75000000000001</v>
      </c>
      <c r="K11" s="59">
        <f>+G11*C11</f>
        <v>2134.3500000000004</v>
      </c>
      <c r="L11" s="48">
        <f>+H11*C11</f>
        <v>4590</v>
      </c>
      <c r="M11" s="48">
        <f>IF(D11=0," ",(I11*C11))</f>
        <v>320.15250000000009</v>
      </c>
      <c r="N11" s="199">
        <f>IF(D11=0," ",(J11*C11))</f>
        <v>688.50000000000011</v>
      </c>
    </row>
    <row r="12" spans="1:14" s="21" customFormat="1" ht="18.5" x14ac:dyDescent="0.45">
      <c r="A12" s="75" t="str">
        <f>IF(F12&lt;&gt;"",(LARGE(A$9:A11,1)+1),"")</f>
        <v/>
      </c>
      <c r="B12" s="151"/>
      <c r="C12" s="144"/>
      <c r="D12" s="51"/>
      <c r="E12" s="48"/>
      <c r="F12" s="199"/>
      <c r="G12" s="48"/>
      <c r="H12" s="48"/>
      <c r="I12" s="48"/>
      <c r="J12" s="199"/>
      <c r="K12" s="214"/>
      <c r="L12" s="20"/>
      <c r="M12" s="20"/>
      <c r="N12" s="199"/>
    </row>
    <row r="13" spans="1:14" s="21" customFormat="1" ht="18.5" x14ac:dyDescent="0.45">
      <c r="A13" s="75" t="str">
        <f>IF(F13&lt;&gt;"",(LARGE(A$9:A12,1)+1),"")</f>
        <v/>
      </c>
      <c r="B13" s="159" t="s">
        <v>197</v>
      </c>
      <c r="C13" s="144"/>
      <c r="D13" s="51"/>
      <c r="E13" s="48"/>
      <c r="F13" s="199"/>
      <c r="G13" s="48"/>
      <c r="H13" s="48"/>
      <c r="I13" s="48"/>
      <c r="J13" s="199"/>
      <c r="K13" s="214"/>
      <c r="L13" s="20"/>
      <c r="M13" s="20"/>
      <c r="N13" s="199"/>
    </row>
    <row r="14" spans="1:14" s="21" customFormat="1" ht="18.5" x14ac:dyDescent="0.45">
      <c r="A14" s="75" t="str">
        <f>IF(F14&lt;&gt;"",(LARGE(A$9:A13,1)+1),"")</f>
        <v/>
      </c>
      <c r="B14" s="151"/>
      <c r="C14" s="144"/>
      <c r="D14" s="51"/>
      <c r="E14" s="48"/>
      <c r="F14" s="199"/>
      <c r="G14" s="48"/>
      <c r="H14" s="48"/>
      <c r="I14" s="48"/>
      <c r="J14" s="199"/>
      <c r="K14" s="214"/>
      <c r="L14" s="20"/>
      <c r="M14" s="20"/>
      <c r="N14" s="199"/>
    </row>
    <row r="15" spans="1:14" s="21" customFormat="1" ht="18.5" x14ac:dyDescent="0.45">
      <c r="A15" s="75">
        <f>IF(F15&lt;&gt;"",(LARGE(A$9:A14,1)+1),"")</f>
        <v>2</v>
      </c>
      <c r="B15" s="151" t="s">
        <v>382</v>
      </c>
      <c r="C15" s="144">
        <v>17.71</v>
      </c>
      <c r="D15" s="51" t="s">
        <v>10</v>
      </c>
      <c r="E15" s="48">
        <f>G15+H15+J15+I15</f>
        <v>31.167874999999999</v>
      </c>
      <c r="F15" s="199">
        <f>E15*C15</f>
        <v>551.98306624999998</v>
      </c>
      <c r="G15" s="48">
        <v>8.6025000000000009</v>
      </c>
      <c r="H15" s="48">
        <v>18.5</v>
      </c>
      <c r="I15" s="48">
        <f>IF(D15=0," ",(G15)*([1]Details!$C$4+[1]Details!$C$8))</f>
        <v>1.2903750000000003</v>
      </c>
      <c r="J15" s="199">
        <f>IF(D15=0," ",(H15)*([1]Details!$C$6+[1]Details!$C$8))</f>
        <v>2.7750000000000004</v>
      </c>
      <c r="K15" s="59">
        <f>+G15*C15</f>
        <v>152.35027500000001</v>
      </c>
      <c r="L15" s="48">
        <f>+H15*C15</f>
        <v>327.63499999999999</v>
      </c>
      <c r="M15" s="48">
        <f>IF(D15=0," ",(I15*C15))</f>
        <v>22.852541250000005</v>
      </c>
      <c r="N15" s="199">
        <f>IF(D15=0," ",(J15*C15))</f>
        <v>49.145250000000011</v>
      </c>
    </row>
    <row r="16" spans="1:14" s="21" customFormat="1" ht="18.5" x14ac:dyDescent="0.45">
      <c r="A16" s="75"/>
      <c r="B16" s="151"/>
      <c r="C16" s="144"/>
      <c r="D16" s="51"/>
      <c r="E16" s="48"/>
      <c r="F16" s="199"/>
      <c r="G16" s="48"/>
      <c r="H16" s="48"/>
      <c r="I16" s="48"/>
      <c r="J16" s="199"/>
      <c r="K16" s="59"/>
      <c r="L16" s="48"/>
      <c r="M16" s="48"/>
      <c r="N16" s="199"/>
    </row>
    <row r="17" spans="1:16" s="21" customFormat="1" ht="18.5" x14ac:dyDescent="0.45">
      <c r="A17" s="75">
        <f>IF(F17&lt;&gt;"",(LARGE(A$9:A15,1)+1),"")</f>
        <v>3</v>
      </c>
      <c r="B17" s="151" t="s">
        <v>383</v>
      </c>
      <c r="C17" s="144">
        <v>551.48</v>
      </c>
      <c r="D17" s="51" t="s">
        <v>10</v>
      </c>
      <c r="E17" s="48">
        <f>G17+H17+J17+I17</f>
        <v>36.222125000000005</v>
      </c>
      <c r="F17" s="199">
        <f>E17*C17</f>
        <v>19975.777495000002</v>
      </c>
      <c r="G17" s="48">
        <v>9.9975000000000005</v>
      </c>
      <c r="H17" s="48">
        <v>21.5</v>
      </c>
      <c r="I17" s="48">
        <f>IF(D17=0," ",(G17)*([1]Details!$C$4+[1]Details!$C$8))</f>
        <v>1.4996250000000002</v>
      </c>
      <c r="J17" s="199">
        <f>IF(D17=0," ",(H17)*([1]Details!$C$6+[1]Details!$C$8))</f>
        <v>3.2250000000000005</v>
      </c>
      <c r="K17" s="59">
        <f>+G17*C17</f>
        <v>5513.4213000000009</v>
      </c>
      <c r="L17" s="48">
        <f>+H17*C17</f>
        <v>11856.82</v>
      </c>
      <c r="M17" s="48">
        <f>IF(D17=0," ",(I17*C17))</f>
        <v>827.01319500000011</v>
      </c>
      <c r="N17" s="199">
        <f>IF(D17=0," ",(J17*C17))</f>
        <v>1778.5230000000004</v>
      </c>
    </row>
    <row r="18" spans="1:16" s="21" customFormat="1" ht="18.5" x14ac:dyDescent="0.45">
      <c r="A18" s="75" t="str">
        <f>IF(F18&lt;&gt;"",(LARGE(#REF!,1)+1),"")</f>
        <v/>
      </c>
      <c r="B18" s="151"/>
      <c r="C18" s="144"/>
      <c r="D18" s="60"/>
      <c r="E18" s="48"/>
      <c r="F18" s="199"/>
      <c r="G18" s="59"/>
      <c r="H18" s="48"/>
      <c r="I18" s="48"/>
      <c r="J18" s="199" t="str">
        <f>IF(D18=0," ",(G18+H18)*(Details!$C$4+Details!$C$6))</f>
        <v xml:space="preserve"> </v>
      </c>
      <c r="K18" s="214"/>
      <c r="L18" s="20"/>
      <c r="M18" s="20"/>
      <c r="N18" s="199"/>
      <c r="P18" s="72" t="s">
        <v>125</v>
      </c>
    </row>
    <row r="19" spans="1:16" s="21" customFormat="1" ht="19" thickBot="1" x14ac:dyDescent="0.5">
      <c r="A19" s="75"/>
      <c r="B19" s="160"/>
      <c r="C19" s="52"/>
      <c r="D19" s="60"/>
      <c r="E19" s="62" t="s">
        <v>97</v>
      </c>
      <c r="F19" s="200">
        <f>SUM(F8:F18)</f>
        <v>28260.763061250003</v>
      </c>
      <c r="G19" s="59"/>
      <c r="H19" s="48"/>
      <c r="I19" s="48"/>
      <c r="J19" s="199" t="str">
        <f>IF(D19=0," ",(G19+H19)*(Details!$C$4+Details!$C$6))</f>
        <v xml:space="preserve"> </v>
      </c>
      <c r="K19" s="200">
        <f>SUM(K8:K18)</f>
        <v>7800.121575000001</v>
      </c>
      <c r="L19" s="200">
        <f>SUM(L8:L18)</f>
        <v>16774.455000000002</v>
      </c>
      <c r="M19" s="200">
        <f>SUM(M8:M18)</f>
        <v>1170.0182362500002</v>
      </c>
      <c r="N19" s="200">
        <f>SUM(N8:N18)</f>
        <v>2516.1682500000006</v>
      </c>
      <c r="O19" s="55"/>
      <c r="P19" s="72">
        <f>+F19-K19-L19-N19-M19</f>
        <v>0</v>
      </c>
    </row>
    <row r="20" spans="1:16" s="21" customFormat="1" ht="19.5" thickTop="1" thickBot="1" x14ac:dyDescent="0.5">
      <c r="A20" s="161" t="str">
        <f>IF(F20&lt;&gt;"",(LARGE(A$7:A19,1)+1),"")</f>
        <v/>
      </c>
      <c r="B20" s="162"/>
      <c r="C20" s="163"/>
      <c r="D20" s="63"/>
      <c r="E20" s="65"/>
      <c r="F20" s="67"/>
      <c r="G20" s="66"/>
      <c r="H20" s="65"/>
      <c r="I20" s="65"/>
      <c r="J20" s="67" t="str">
        <f>IF(D20=0," ",(G20+H20)*(Details!$C$4+Details!$C$6))</f>
        <v xml:space="preserve"> </v>
      </c>
      <c r="K20" s="227"/>
      <c r="L20" s="227"/>
      <c r="M20" s="227"/>
      <c r="N20" s="187"/>
      <c r="O20" s="55"/>
    </row>
  </sheetData>
  <mergeCells count="2">
    <mergeCell ref="G5:J5"/>
    <mergeCell ref="K5:N5"/>
  </mergeCells>
  <conditionalFormatting sqref="G8:G10415">
    <cfRule type="notContainsBlanks" dxfId="8" priority="1">
      <formula>LEN(TRIM(G8))&gt;0</formula>
    </cfRule>
  </conditionalFormatting>
  <conditionalFormatting sqref="H11">
    <cfRule type="notContainsBlanks" dxfId="7" priority="3">
      <formula>LEN(TRIM(H11))&gt;0</formula>
    </cfRule>
  </conditionalFormatting>
  <conditionalFormatting sqref="H15:H17">
    <cfRule type="notContainsBlanks" dxfId="6" priority="2">
      <formula>LEN(TRIM(H15))&gt;0</formula>
    </cfRule>
  </conditionalFormatting>
  <conditionalFormatting sqref="H8:I10">
    <cfRule type="notContainsBlanks" dxfId="5" priority="4">
      <formula>LEN(TRIM(H8))&gt;0</formula>
    </cfRule>
  </conditionalFormatting>
  <conditionalFormatting sqref="H12:I14">
    <cfRule type="notContainsBlanks" dxfId="4" priority="5">
      <formula>LEN(TRIM(H12))&gt;0</formula>
    </cfRule>
  </conditionalFormatting>
  <conditionalFormatting sqref="H18:I10415">
    <cfRule type="notContainsBlanks" dxfId="3" priority="62">
      <formula>LEN(TRIM(H18))&gt;0</formula>
    </cfRule>
  </conditionalFormatting>
  <conditionalFormatting sqref="P19">
    <cfRule type="cellIs" dxfId="2" priority="68" operator="equal">
      <formula>0</formula>
    </cfRule>
    <cfRule type="cellIs" dxfId="1" priority="69" operator="notBetween">
      <formula>-0.01</formula>
      <formula>0.01</formula>
    </cfRule>
  </conditionalFormatting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45"/>
  <sheetViews>
    <sheetView zoomScale="55" zoomScaleNormal="55" workbookViewId="0">
      <selection activeCell="F40" sqref="F40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>PROJECT NAME: SQUAIRRELS LEAP GUILDFORD ROAD, CHERTSEY KT16 9RU</v>
      </c>
      <c r="F2" s="35"/>
      <c r="G2" s="20"/>
      <c r="H2" s="26"/>
    </row>
    <row r="3" spans="1:11" x14ac:dyDescent="0.35">
      <c r="A3" s="15"/>
      <c r="B3" s="53" t="str">
        <f>+'Qual, Excl &amp; Assum'!B3</f>
        <v>DATE: 25TH NOVEMBER 2025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71"/>
      <c r="J4" s="71"/>
    </row>
    <row r="5" spans="1:11" s="21" customFormat="1" ht="37.5" customHeight="1" thickBot="1" x14ac:dyDescent="0.55000000000000004">
      <c r="A5" s="218"/>
      <c r="B5" s="219" t="s">
        <v>9</v>
      </c>
      <c r="C5" s="246"/>
      <c r="D5" s="222"/>
      <c r="E5" s="223"/>
      <c r="F5" s="224"/>
      <c r="G5" s="223"/>
      <c r="H5" s="247"/>
      <c r="I5" s="364"/>
      <c r="J5" s="362"/>
    </row>
    <row r="6" spans="1:11" s="21" customFormat="1" ht="18.5" x14ac:dyDescent="0.45">
      <c r="A6" s="49"/>
      <c r="B6" s="38"/>
      <c r="C6" s="52"/>
      <c r="D6" s="38"/>
      <c r="E6" s="64"/>
      <c r="F6" s="197"/>
      <c r="G6" s="64"/>
      <c r="H6" s="202"/>
      <c r="I6" s="32"/>
      <c r="J6" s="32"/>
      <c r="K6" s="74">
        <v>1</v>
      </c>
    </row>
    <row r="7" spans="1:11" s="21" customFormat="1" ht="18.5" x14ac:dyDescent="0.45">
      <c r="A7" s="49"/>
      <c r="B7" s="3" t="s">
        <v>3</v>
      </c>
      <c r="C7" s="259" t="s">
        <v>8</v>
      </c>
      <c r="D7" s="260" t="s">
        <v>2</v>
      </c>
      <c r="E7" s="54" t="s">
        <v>1</v>
      </c>
      <c r="F7" s="261" t="s">
        <v>0</v>
      </c>
      <c r="G7" s="54" t="s">
        <v>28</v>
      </c>
      <c r="H7" s="225" t="s">
        <v>127</v>
      </c>
      <c r="I7" s="71"/>
      <c r="J7" s="71"/>
    </row>
    <row r="8" spans="1:11" s="21" customFormat="1" ht="18.5" x14ac:dyDescent="0.45">
      <c r="A8" s="49"/>
      <c r="B8" s="158"/>
      <c r="C8" s="244"/>
      <c r="D8" s="61"/>
      <c r="E8" s="62"/>
      <c r="F8" s="198"/>
      <c r="G8" s="62"/>
      <c r="H8" s="203"/>
      <c r="I8" s="32"/>
      <c r="J8" s="20"/>
    </row>
    <row r="9" spans="1:11" s="21" customFormat="1" ht="18.5" x14ac:dyDescent="0.45">
      <c r="A9" s="49">
        <v>1</v>
      </c>
      <c r="B9" s="245" t="s">
        <v>73</v>
      </c>
      <c r="C9" s="144">
        <v>1</v>
      </c>
      <c r="D9" s="51" t="s">
        <v>41</v>
      </c>
      <c r="E9" s="48">
        <v>1500</v>
      </c>
      <c r="F9" s="199">
        <f>E9*C9</f>
        <v>1500</v>
      </c>
      <c r="G9" s="48"/>
      <c r="H9" s="199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58"/>
      <c r="C10" s="244"/>
      <c r="D10" s="61"/>
      <c r="E10" s="62"/>
      <c r="F10" s="198"/>
      <c r="G10" s="62"/>
      <c r="H10" s="203"/>
      <c r="I10" s="32"/>
      <c r="J10" s="20"/>
    </row>
    <row r="11" spans="1:11" s="21" customFormat="1" ht="18.5" x14ac:dyDescent="0.45">
      <c r="A11" s="75">
        <f>IF(F11&lt;&gt;"",(LARGE(A$7:A10,1)+1),"")</f>
        <v>2</v>
      </c>
      <c r="B11" s="245" t="s">
        <v>39</v>
      </c>
      <c r="C11" s="144">
        <v>1</v>
      </c>
      <c r="D11" s="51" t="s">
        <v>12</v>
      </c>
      <c r="E11" s="48">
        <v>1400</v>
      </c>
      <c r="F11" s="199">
        <f>+E11*C11</f>
        <v>1400</v>
      </c>
      <c r="G11" s="48"/>
      <c r="H11" s="199">
        <f>IF(D11=0," ",(G11)*(Details!$C$4+Details!$C$8))</f>
        <v>0</v>
      </c>
      <c r="I11" s="32"/>
      <c r="J11" s="72"/>
    </row>
    <row r="12" spans="1:11" s="21" customFormat="1" ht="18.5" x14ac:dyDescent="0.45">
      <c r="A12" s="75" t="str">
        <f>IF(F12&lt;&gt;"",(LARGE(A$7:A11,1)+1),"")</f>
        <v/>
      </c>
      <c r="B12" s="38"/>
      <c r="C12" s="144"/>
      <c r="D12" s="60"/>
      <c r="E12" s="48"/>
      <c r="F12" s="199"/>
      <c r="G12" s="48"/>
      <c r="H12" s="203"/>
      <c r="I12" s="32"/>
      <c r="J12" s="20"/>
    </row>
    <row r="13" spans="1:11" s="21" customFormat="1" ht="18.5" x14ac:dyDescent="0.45">
      <c r="A13" s="75">
        <f>IF(F13&lt;&gt;"",(LARGE(A$7:A12,1)+1),"")</f>
        <v>3</v>
      </c>
      <c r="B13" s="38" t="s">
        <v>31</v>
      </c>
      <c r="C13" s="144">
        <v>1</v>
      </c>
      <c r="D13" s="51" t="s">
        <v>11</v>
      </c>
      <c r="E13" s="48">
        <v>1250</v>
      </c>
      <c r="F13" s="199">
        <f>E13*C13</f>
        <v>1250</v>
      </c>
      <c r="G13" s="48"/>
      <c r="H13" s="199">
        <f>IF(D13=0," ",(G13)*(Details!$C$4+Details!$C$8))</f>
        <v>0</v>
      </c>
      <c r="I13" s="32"/>
      <c r="J13" s="20"/>
    </row>
    <row r="14" spans="1:11" s="21" customFormat="1" ht="18.5" x14ac:dyDescent="0.45">
      <c r="A14" s="75" t="str">
        <f>IF(F14&lt;&gt;"",(LARGE(A$7:A13,1)+1),"")</f>
        <v/>
      </c>
      <c r="B14" s="38"/>
      <c r="C14" s="144"/>
      <c r="D14" s="51"/>
      <c r="E14" s="48"/>
      <c r="F14" s="199"/>
      <c r="G14" s="48"/>
      <c r="H14" s="203"/>
      <c r="I14" s="32"/>
      <c r="J14" s="20"/>
    </row>
    <row r="15" spans="1:11" s="21" customFormat="1" ht="18.5" x14ac:dyDescent="0.45">
      <c r="A15" s="75">
        <f>IF(F15&lt;&gt;"",(LARGE(A$7:A14,1)+1),"")</f>
        <v>4</v>
      </c>
      <c r="B15" s="151" t="s">
        <v>32</v>
      </c>
      <c r="C15" s="144">
        <v>1</v>
      </c>
      <c r="D15" s="51" t="s">
        <v>11</v>
      </c>
      <c r="E15" s="48">
        <v>850</v>
      </c>
      <c r="F15" s="199">
        <f>E15*C15</f>
        <v>850</v>
      </c>
      <c r="G15" s="48"/>
      <c r="H15" s="199">
        <f>IF(D15=0," ",(G15)*(Details!$C$4+Details!$C$8))</f>
        <v>0</v>
      </c>
      <c r="I15" s="32"/>
      <c r="J15" s="20"/>
    </row>
    <row r="16" spans="1:11" s="21" customFormat="1" ht="18.5" x14ac:dyDescent="0.45">
      <c r="A16" s="75" t="str">
        <f>IF(F16&lt;&gt;"",(LARGE(A$7:A15,1)+1),"")</f>
        <v/>
      </c>
      <c r="B16" s="151"/>
      <c r="C16" s="144"/>
      <c r="D16" s="60"/>
      <c r="E16" s="48"/>
      <c r="F16" s="199"/>
      <c r="G16" s="48"/>
      <c r="H16" s="203"/>
      <c r="I16" s="32"/>
      <c r="J16" s="20"/>
      <c r="K16" s="80"/>
    </row>
    <row r="17" spans="1:11" s="21" customFormat="1" ht="18.5" x14ac:dyDescent="0.45">
      <c r="A17" s="75">
        <f>IF(F17&lt;&gt;"",(LARGE(A$7:A16,1)+1),"")</f>
        <v>5</v>
      </c>
      <c r="B17" s="151" t="s">
        <v>33</v>
      </c>
      <c r="C17" s="144">
        <v>1</v>
      </c>
      <c r="D17" s="51" t="s">
        <v>11</v>
      </c>
      <c r="E17" s="48">
        <v>1650</v>
      </c>
      <c r="F17" s="199">
        <f>E17*C17</f>
        <v>1650</v>
      </c>
      <c r="G17" s="48"/>
      <c r="H17" s="199">
        <f>IF(D17=0," ",(G17)*(Details!$C$4+Details!$C$8))</f>
        <v>0</v>
      </c>
      <c r="I17" s="32"/>
      <c r="J17" s="20"/>
    </row>
    <row r="18" spans="1:11" s="21" customFormat="1" ht="18.5" x14ac:dyDescent="0.45">
      <c r="A18" s="75" t="str">
        <f>IF(F18&lt;&gt;"",(LARGE(A$7:A17,1)+1),"")</f>
        <v/>
      </c>
      <c r="B18" s="151"/>
      <c r="C18" s="144"/>
      <c r="D18" s="60"/>
      <c r="E18" s="48"/>
      <c r="F18" s="199"/>
      <c r="G18" s="48"/>
      <c r="H18" s="203"/>
      <c r="I18" s="32"/>
      <c r="J18" s="20"/>
      <c r="K18" s="36"/>
    </row>
    <row r="19" spans="1:11" s="21" customFormat="1" ht="18.5" x14ac:dyDescent="0.45">
      <c r="A19" s="75">
        <f>IF(F19&lt;&gt;"",(LARGE(A$7:A18,1)+1),"")</f>
        <v>6</v>
      </c>
      <c r="B19" s="151" t="s">
        <v>34</v>
      </c>
      <c r="C19" s="144">
        <v>1</v>
      </c>
      <c r="D19" s="51" t="s">
        <v>11</v>
      </c>
      <c r="E19" s="48">
        <v>1000</v>
      </c>
      <c r="F19" s="199">
        <f>E19*C19</f>
        <v>1000</v>
      </c>
      <c r="G19" s="48"/>
      <c r="H19" s="199">
        <f>IF(D19=0," ",(G19)*(Details!$C$4+Details!$C$8))</f>
        <v>0</v>
      </c>
      <c r="I19" s="32"/>
      <c r="J19" s="20"/>
    </row>
    <row r="20" spans="1:11" s="21" customFormat="1" ht="18.5" x14ac:dyDescent="0.45">
      <c r="A20" s="75" t="str">
        <f>IF(F20&lt;&gt;"",(LARGE(A$7:A19,1)+1),"")</f>
        <v/>
      </c>
      <c r="B20" s="151"/>
      <c r="C20" s="144"/>
      <c r="D20" s="60"/>
      <c r="E20" s="48"/>
      <c r="F20" s="199"/>
      <c r="G20" s="48"/>
      <c r="H20" s="203"/>
      <c r="I20" s="32"/>
      <c r="J20" s="20"/>
    </row>
    <row r="21" spans="1:11" s="21" customFormat="1" ht="18.5" x14ac:dyDescent="0.45">
      <c r="A21" s="75">
        <f>IF(F21&lt;&gt;"",(LARGE(A$7:A20,1)+1),"")</f>
        <v>7</v>
      </c>
      <c r="B21" s="151" t="s">
        <v>35</v>
      </c>
      <c r="C21" s="144">
        <v>1</v>
      </c>
      <c r="D21" s="51" t="s">
        <v>11</v>
      </c>
      <c r="E21" s="48">
        <v>1200</v>
      </c>
      <c r="F21" s="199">
        <f>E21*C21</f>
        <v>1200</v>
      </c>
      <c r="G21" s="48"/>
      <c r="H21" s="199">
        <f>IF(D21=0," ",(G21)*(Details!$C$4+Details!$C$8))</f>
        <v>0</v>
      </c>
      <c r="I21" s="32"/>
      <c r="J21" s="20"/>
    </row>
    <row r="22" spans="1:11" s="21" customFormat="1" ht="18.5" x14ac:dyDescent="0.45">
      <c r="A22" s="75" t="str">
        <f>IF(F22&lt;&gt;"",(LARGE(A$7:A21,1)+1),"")</f>
        <v/>
      </c>
      <c r="B22" s="151"/>
      <c r="C22" s="144"/>
      <c r="D22" s="60"/>
      <c r="E22" s="48"/>
      <c r="F22" s="199"/>
      <c r="G22" s="48"/>
      <c r="H22" s="203"/>
      <c r="I22" s="32"/>
      <c r="J22" s="20"/>
    </row>
    <row r="23" spans="1:11" s="21" customFormat="1" ht="18.5" x14ac:dyDescent="0.45">
      <c r="A23" s="75">
        <f>IF(F23&lt;&gt;"",(LARGE(A$7:A22,1)+1),"")</f>
        <v>8</v>
      </c>
      <c r="B23" s="151" t="s">
        <v>36</v>
      </c>
      <c r="C23" s="144">
        <v>1</v>
      </c>
      <c r="D23" s="51" t="s">
        <v>11</v>
      </c>
      <c r="E23" s="48">
        <v>750</v>
      </c>
      <c r="F23" s="199">
        <f>E23*C23</f>
        <v>750</v>
      </c>
      <c r="G23" s="48"/>
      <c r="H23" s="199">
        <f>IF(D23=0," ",(G23)*(Details!$C$4+Details!$C$8))</f>
        <v>0</v>
      </c>
      <c r="I23" s="32"/>
      <c r="J23" s="20"/>
    </row>
    <row r="24" spans="1:11" s="21" customFormat="1" ht="18.5" x14ac:dyDescent="0.45">
      <c r="A24" s="75" t="str">
        <f>IF(F24&lt;&gt;"",(LARGE(A$7:A23,1)+1),"")</f>
        <v/>
      </c>
      <c r="B24" s="151"/>
      <c r="C24" s="144"/>
      <c r="D24" s="60"/>
      <c r="E24" s="48"/>
      <c r="F24" s="199"/>
      <c r="G24" s="48"/>
      <c r="H24" s="203"/>
      <c r="I24" s="32"/>
      <c r="J24" s="20"/>
    </row>
    <row r="25" spans="1:11" s="21" customFormat="1" ht="18.5" x14ac:dyDescent="0.45">
      <c r="A25" s="75">
        <f>IF(F25&lt;&gt;"",(LARGE(A$7:A24,1)+1),"")</f>
        <v>9</v>
      </c>
      <c r="B25" s="151" t="s">
        <v>78</v>
      </c>
      <c r="C25" s="144">
        <v>1</v>
      </c>
      <c r="D25" s="51" t="s">
        <v>11</v>
      </c>
      <c r="E25" s="48">
        <v>800</v>
      </c>
      <c r="F25" s="199">
        <f>E25*C25</f>
        <v>800</v>
      </c>
      <c r="G25" s="48"/>
      <c r="H25" s="199">
        <f>IF(D25=0," ",(G25)*(Details!$C$4+Details!$C$8))</f>
        <v>0</v>
      </c>
      <c r="I25" s="32"/>
      <c r="J25" s="20"/>
    </row>
    <row r="26" spans="1:11" s="21" customFormat="1" ht="18.5" x14ac:dyDescent="0.45">
      <c r="A26" s="75" t="str">
        <f>IF(F26&lt;&gt;"",(LARGE(A$7:A25,1)+1),"")</f>
        <v/>
      </c>
      <c r="B26" s="151"/>
      <c r="C26" s="144"/>
      <c r="D26" s="51"/>
      <c r="E26" s="48"/>
      <c r="F26" s="199"/>
      <c r="G26" s="48"/>
      <c r="H26" s="203"/>
      <c r="I26" s="32"/>
      <c r="J26" s="20"/>
    </row>
    <row r="27" spans="1:11" s="21" customFormat="1" ht="18.5" x14ac:dyDescent="0.45">
      <c r="A27" s="75">
        <f>IF(F27&lt;&gt;"",(LARGE(A$7:A26,1)+1),"")</f>
        <v>10</v>
      </c>
      <c r="B27" s="151" t="s">
        <v>43</v>
      </c>
      <c r="C27" s="144">
        <v>1</v>
      </c>
      <c r="D27" s="51" t="s">
        <v>11</v>
      </c>
      <c r="E27" s="48">
        <v>1100</v>
      </c>
      <c r="F27" s="199">
        <f>E27*C27</f>
        <v>1100</v>
      </c>
      <c r="G27" s="48"/>
      <c r="H27" s="199">
        <f>IF(D27=0," ",(G27)*(Details!$C$4+Details!$C$8))</f>
        <v>0</v>
      </c>
      <c r="I27" s="32"/>
      <c r="J27" s="20"/>
    </row>
    <row r="28" spans="1:11" s="21" customFormat="1" ht="18.5" x14ac:dyDescent="0.45">
      <c r="A28" s="75" t="str">
        <f>IF(F28&lt;&gt;"",(LARGE(A$7:A27,1)+1),"")</f>
        <v/>
      </c>
      <c r="B28" s="151"/>
      <c r="C28" s="144"/>
      <c r="D28" s="51"/>
      <c r="E28" s="48"/>
      <c r="F28" s="199"/>
      <c r="G28" s="48"/>
      <c r="H28" s="203"/>
      <c r="I28" s="32"/>
      <c r="J28" s="20"/>
    </row>
    <row r="29" spans="1:11" s="21" customFormat="1" ht="18.5" x14ac:dyDescent="0.45">
      <c r="A29" s="75">
        <f>IF(F29&lt;&gt;"",(LARGE(A$7:A28,1)+1),"")</f>
        <v>11</v>
      </c>
      <c r="B29" s="151" t="s">
        <v>44</v>
      </c>
      <c r="C29" s="144">
        <v>1</v>
      </c>
      <c r="D29" s="51" t="s">
        <v>11</v>
      </c>
      <c r="E29" s="48">
        <v>1350</v>
      </c>
      <c r="F29" s="199">
        <f>E29*C29</f>
        <v>1350</v>
      </c>
      <c r="G29" s="48"/>
      <c r="H29" s="199">
        <f>IF(D29=0," ",(G29)*(Details!$C$4+Details!$C$8))</f>
        <v>0</v>
      </c>
      <c r="I29" s="32"/>
      <c r="J29" s="20"/>
    </row>
    <row r="30" spans="1:11" s="21" customFormat="1" ht="18.5" x14ac:dyDescent="0.45">
      <c r="A30" s="75" t="str">
        <f>IF(F30&lt;&gt;"",(LARGE(A$7:A29,1)+1),"")</f>
        <v/>
      </c>
      <c r="B30" s="151"/>
      <c r="C30" s="144"/>
      <c r="D30" s="60"/>
      <c r="E30" s="48"/>
      <c r="F30" s="199"/>
      <c r="G30" s="48"/>
      <c r="H30" s="203"/>
      <c r="I30" s="32"/>
      <c r="J30" s="20"/>
    </row>
    <row r="31" spans="1:11" s="21" customFormat="1" ht="18.5" x14ac:dyDescent="0.45">
      <c r="A31" s="75">
        <f>IF(F31&lt;&gt;"",(LARGE(A$7:A30,1)+1),"")</f>
        <v>12</v>
      </c>
      <c r="B31" s="151" t="s">
        <v>144</v>
      </c>
      <c r="C31" s="144">
        <v>1</v>
      </c>
      <c r="D31" s="51" t="s">
        <v>11</v>
      </c>
      <c r="E31" s="48">
        <v>1650</v>
      </c>
      <c r="F31" s="199">
        <f>E31*C31</f>
        <v>1650</v>
      </c>
      <c r="G31" s="48"/>
      <c r="H31" s="199">
        <f>IF(D31=0," ",(G31)*(Details!$C$4+Details!$C$8))</f>
        <v>0</v>
      </c>
      <c r="I31" s="32"/>
      <c r="J31" s="20"/>
    </row>
    <row r="32" spans="1:11" s="21" customFormat="1" ht="18.5" x14ac:dyDescent="0.45">
      <c r="A32" s="75"/>
      <c r="B32" s="151"/>
      <c r="C32" s="144"/>
      <c r="D32" s="51"/>
      <c r="E32" s="48"/>
      <c r="F32" s="199"/>
      <c r="G32" s="48"/>
      <c r="H32" s="199" t="str">
        <f>IF(D32=0," ",(G32)*(Details!$C$4+Details!$C$6))</f>
        <v xml:space="preserve"> </v>
      </c>
      <c r="I32" s="32"/>
      <c r="J32" s="20"/>
    </row>
    <row r="33" spans="1:12" s="21" customFormat="1" ht="18.5" x14ac:dyDescent="0.45">
      <c r="A33" s="75">
        <f>IF(F33&lt;&gt;"",(LARGE(A$7:A32,1)+1),"")</f>
        <v>13</v>
      </c>
      <c r="B33" s="151" t="s">
        <v>185</v>
      </c>
      <c r="C33" s="144">
        <v>1</v>
      </c>
      <c r="D33" s="51" t="s">
        <v>11</v>
      </c>
      <c r="E33" s="48">
        <v>3500</v>
      </c>
      <c r="F33" s="199">
        <f>E33*C33</f>
        <v>3500</v>
      </c>
      <c r="G33" s="48"/>
      <c r="H33" s="199">
        <f>IF(D33=0," ",(G33)*(Details!$C$4+Details!$C$8))</f>
        <v>0</v>
      </c>
      <c r="I33" s="32"/>
      <c r="J33" s="20"/>
    </row>
    <row r="34" spans="1:12" s="21" customFormat="1" ht="18.5" x14ac:dyDescent="0.45">
      <c r="A34" s="75" t="str">
        <f>IF(F34&lt;&gt;"",(LARGE(A$7:A33,1)+1),"")</f>
        <v/>
      </c>
      <c r="B34" s="151"/>
      <c r="C34" s="144"/>
      <c r="D34" s="51"/>
      <c r="E34" s="48"/>
      <c r="F34" s="199"/>
      <c r="G34" s="48"/>
      <c r="H34" s="199" t="str">
        <f>IF(D34=0," ",(G34)*(Details!$C$4+Details!$C$6))</f>
        <v xml:space="preserve"> </v>
      </c>
      <c r="I34" s="32"/>
      <c r="J34" s="20"/>
    </row>
    <row r="35" spans="1:12" s="21" customFormat="1" ht="18.5" x14ac:dyDescent="0.45">
      <c r="A35" s="75" t="str">
        <f>IF(F35&lt;&gt;"",(LARGE(A$7:A34,1)+1),"")</f>
        <v/>
      </c>
      <c r="B35" s="151"/>
      <c r="C35" s="144"/>
      <c r="D35" s="60"/>
      <c r="E35" s="48"/>
      <c r="F35" s="199"/>
      <c r="G35" s="48"/>
      <c r="H35" s="199" t="str">
        <f>IF(D35=0," ",(G35)*(Details!$C$4+Details!$C$6))</f>
        <v xml:space="preserve"> </v>
      </c>
      <c r="I35" s="32"/>
      <c r="J35" s="20"/>
    </row>
    <row r="36" spans="1:12" s="21" customFormat="1" ht="18.5" x14ac:dyDescent="0.45">
      <c r="A36" s="75" t="str">
        <f>IF(F36&lt;&gt;"",(LARGE(A$7:A35,1)+1),"")</f>
        <v/>
      </c>
      <c r="B36" s="151"/>
      <c r="C36" s="144"/>
      <c r="D36" s="60"/>
      <c r="E36" s="48"/>
      <c r="F36" s="199"/>
      <c r="G36" s="48"/>
      <c r="H36" s="199" t="str">
        <f>IF(D36=0," ",(G36)*(Details!$C$4+Details!$C$6))</f>
        <v xml:space="preserve"> </v>
      </c>
      <c r="I36" s="32"/>
      <c r="J36" s="20"/>
    </row>
    <row r="37" spans="1:12" s="21" customFormat="1" ht="18.5" x14ac:dyDescent="0.45">
      <c r="A37" s="75" t="str">
        <f>IF(F37&lt;&gt;"",(LARGE(A$7:A36,1)+1),"")</f>
        <v/>
      </c>
      <c r="B37" s="151"/>
      <c r="C37" s="144"/>
      <c r="D37" s="60"/>
      <c r="E37" s="48"/>
      <c r="F37" s="199"/>
      <c r="G37" s="48"/>
      <c r="H37" s="199" t="str">
        <f>IF(D37=0," ",(G37)*(Details!$C$4+Details!$C$6))</f>
        <v xml:space="preserve"> </v>
      </c>
      <c r="I37" s="32"/>
      <c r="J37" s="20"/>
    </row>
    <row r="38" spans="1:12" s="21" customFormat="1" ht="18.5" x14ac:dyDescent="0.45">
      <c r="A38" s="75" t="str">
        <f>IF(F38&lt;&gt;"",(LARGE(A$7:A37,1)+1),"")</f>
        <v/>
      </c>
      <c r="B38" s="151"/>
      <c r="C38" s="144"/>
      <c r="D38" s="60"/>
      <c r="E38" s="48"/>
      <c r="F38" s="199"/>
      <c r="G38" s="48"/>
      <c r="H38" s="199" t="str">
        <f>IF(D38=0," ",(G38)*(Details!$C$4))</f>
        <v xml:space="preserve"> </v>
      </c>
      <c r="I38" s="32"/>
      <c r="J38" s="20"/>
    </row>
    <row r="39" spans="1:12" s="21" customFormat="1" ht="19" thickBot="1" x14ac:dyDescent="0.5">
      <c r="A39" s="75" t="str">
        <f>IF(D39=0," ",(LARGE(A$9:A38,1)+1))</f>
        <v xml:space="preserve"> </v>
      </c>
      <c r="B39" s="160"/>
      <c r="C39" s="52"/>
      <c r="D39" s="60"/>
      <c r="E39" s="62" t="s">
        <v>97</v>
      </c>
      <c r="F39" s="200">
        <f>SUM(F7:F38)</f>
        <v>18000</v>
      </c>
      <c r="G39" s="48"/>
      <c r="H39" s="199"/>
      <c r="I39" s="32"/>
      <c r="J39" s="20"/>
    </row>
    <row r="40" spans="1:12" s="21" customFormat="1" ht="19.5" thickTop="1" thickBot="1" x14ac:dyDescent="0.5">
      <c r="A40" s="50"/>
      <c r="B40" s="162"/>
      <c r="C40" s="163"/>
      <c r="D40" s="63"/>
      <c r="E40" s="65"/>
      <c r="F40" s="201"/>
      <c r="G40" s="65"/>
      <c r="H40" s="67"/>
      <c r="I40" s="32"/>
      <c r="J40" s="20"/>
    </row>
    <row r="41" spans="1:12" s="21" customFormat="1" x14ac:dyDescent="0.35">
      <c r="A41" s="16"/>
      <c r="C41" s="28"/>
      <c r="D41" s="16"/>
      <c r="E41" s="20"/>
      <c r="F41" s="16"/>
      <c r="G41" s="16"/>
      <c r="H41" s="20"/>
      <c r="I41" s="32"/>
      <c r="J41" s="32"/>
    </row>
    <row r="42" spans="1:12" s="21" customFormat="1" ht="17.5" customHeight="1" x14ac:dyDescent="0.35">
      <c r="A42" s="16"/>
      <c r="C42" s="28"/>
      <c r="D42" s="16"/>
      <c r="E42" s="20"/>
      <c r="F42" s="16"/>
      <c r="G42" s="16"/>
      <c r="H42" s="20"/>
      <c r="I42" s="32"/>
      <c r="J42" s="32"/>
    </row>
    <row r="43" spans="1:12" s="21" customFormat="1" x14ac:dyDescent="0.35">
      <c r="A43" s="16"/>
      <c r="C43" s="28"/>
      <c r="D43" s="16"/>
      <c r="E43" s="20"/>
      <c r="F43" s="16"/>
      <c r="G43" s="16"/>
      <c r="H43" s="20"/>
      <c r="I43" s="32"/>
      <c r="J43" s="32"/>
    </row>
    <row r="44" spans="1:12" s="21" customFormat="1" x14ac:dyDescent="0.35">
      <c r="A44" s="16"/>
      <c r="C44" s="28"/>
      <c r="D44" s="16"/>
      <c r="E44" s="20"/>
      <c r="F44" s="16"/>
      <c r="G44" s="16"/>
      <c r="H44" s="20"/>
      <c r="I44" s="32"/>
      <c r="J44" s="32"/>
      <c r="L44" s="55"/>
    </row>
    <row r="45" spans="1:12" s="21" customFormat="1" x14ac:dyDescent="0.35">
      <c r="A45" s="16"/>
      <c r="C45" s="28"/>
      <c r="D45" s="16"/>
      <c r="E45" s="20"/>
      <c r="F45" s="16"/>
      <c r="G45" s="16"/>
      <c r="H45" s="20"/>
      <c r="I45" s="32"/>
      <c r="J45" s="32"/>
      <c r="L45" s="55"/>
    </row>
  </sheetData>
  <mergeCells count="1">
    <mergeCell ref="I5:J5"/>
  </mergeCells>
  <conditionalFormatting sqref="G1:G3 G8:G10536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tabSelected="1" workbookViewId="0">
      <selection activeCell="B12" sqref="B12"/>
    </sheetView>
  </sheetViews>
  <sheetFormatPr defaultColWidth="9.08984375" defaultRowHeight="14.5" x14ac:dyDescent="0.35"/>
  <cols>
    <col min="1" max="1" width="9.08984375" style="267"/>
    <col min="2" max="2" width="45.6328125" style="267" customWidth="1"/>
    <col min="3" max="3" width="19.36328125" style="267" customWidth="1"/>
    <col min="4" max="4" width="13.36328125" style="267" customWidth="1"/>
    <col min="5" max="5" width="11.453125" style="267" customWidth="1"/>
    <col min="6" max="7" width="9.08984375" style="267"/>
    <col min="8" max="9" width="9.08984375" style="307"/>
    <col min="10" max="13" width="19.08984375" style="307" customWidth="1"/>
    <col min="14" max="18" width="9.08984375" style="307"/>
    <col min="19" max="16384" width="9.08984375" style="267"/>
  </cols>
  <sheetData>
    <row r="1" spans="2:16" ht="15" thickBot="1" x14ac:dyDescent="0.4"/>
    <row r="2" spans="2:16" ht="21.5" thickBot="1" x14ac:dyDescent="0.5">
      <c r="B2" s="268" t="s">
        <v>79</v>
      </c>
      <c r="C2" s="269"/>
      <c r="D2" s="269"/>
      <c r="E2" s="269"/>
      <c r="F2" s="270"/>
      <c r="I2" s="316"/>
      <c r="J2" s="317" t="s">
        <v>161</v>
      </c>
      <c r="K2" s="317">
        <f>+Summary!D42</f>
        <v>861112.78079614521</v>
      </c>
      <c r="L2" s="315"/>
      <c r="M2" s="314"/>
      <c r="N2" s="314"/>
      <c r="O2" s="308"/>
      <c r="P2" s="308"/>
    </row>
    <row r="3" spans="2:16" ht="18.5" x14ac:dyDescent="0.45">
      <c r="B3" s="271"/>
      <c r="C3" s="272"/>
      <c r="D3" s="273"/>
      <c r="E3" s="274"/>
      <c r="F3" s="275"/>
      <c r="I3" s="316"/>
      <c r="J3" s="317"/>
      <c r="K3" s="318"/>
      <c r="L3" s="319"/>
      <c r="M3" s="313"/>
      <c r="N3" s="313"/>
      <c r="O3" s="308"/>
      <c r="P3" s="308"/>
    </row>
    <row r="4" spans="2:16" ht="18.5" x14ac:dyDescent="0.45">
      <c r="B4" s="276" t="s">
        <v>162</v>
      </c>
      <c r="C4" s="277">
        <v>0.1</v>
      </c>
      <c r="D4" s="278">
        <f>+C4+1</f>
        <v>1.1000000000000001</v>
      </c>
      <c r="E4" s="279"/>
      <c r="F4" s="280"/>
      <c r="I4" s="316"/>
      <c r="J4" s="317" t="s">
        <v>145</v>
      </c>
      <c r="K4" s="317">
        <f>+(Summary!F37+Summary!G37)*1.1</f>
        <v>806455.70337022573</v>
      </c>
      <c r="L4" s="319"/>
      <c r="M4" s="313"/>
      <c r="N4" s="313"/>
      <c r="O4" s="308"/>
      <c r="P4" s="308"/>
    </row>
    <row r="5" spans="2:16" ht="15.5" x14ac:dyDescent="0.35">
      <c r="B5" s="281"/>
      <c r="C5" s="282"/>
      <c r="D5" s="283"/>
      <c r="E5" s="284"/>
      <c r="F5" s="275"/>
      <c r="I5" s="312"/>
      <c r="J5" s="320"/>
      <c r="K5" s="320"/>
      <c r="L5" s="321"/>
      <c r="M5" s="322">
        <f>CEILING((K4/K27),4)</f>
        <v>56</v>
      </c>
      <c r="N5" s="323" t="s">
        <v>120</v>
      </c>
      <c r="O5" s="324"/>
      <c r="P5" s="309"/>
    </row>
    <row r="6" spans="2:16" ht="15.5" x14ac:dyDescent="0.35">
      <c r="B6" s="276" t="s">
        <v>163</v>
      </c>
      <c r="C6" s="277">
        <v>0.1</v>
      </c>
      <c r="D6" s="278">
        <f>+C6+1</f>
        <v>1.1000000000000001</v>
      </c>
      <c r="E6" s="279"/>
      <c r="F6" s="280"/>
      <c r="I6" s="312"/>
      <c r="J6" s="323"/>
      <c r="K6" s="323"/>
      <c r="L6" s="321"/>
      <c r="M6" s="323"/>
      <c r="N6" s="323"/>
      <c r="O6" s="324"/>
      <c r="P6" s="309"/>
    </row>
    <row r="7" spans="2:16" ht="15.5" x14ac:dyDescent="0.35">
      <c r="B7" s="281"/>
      <c r="C7" s="282"/>
      <c r="D7" s="283"/>
      <c r="E7" s="286"/>
      <c r="F7" s="275"/>
      <c r="I7" s="312"/>
      <c r="J7" s="323" t="s">
        <v>80</v>
      </c>
      <c r="K7" s="323">
        <v>0</v>
      </c>
      <c r="L7" s="321" t="str">
        <f>IF(AND($K$4&gt;=K7,$K$4&lt;=K8),N7,O7)</f>
        <v>No</v>
      </c>
      <c r="M7" s="323">
        <v>5000</v>
      </c>
      <c r="N7" s="323" t="s">
        <v>81</v>
      </c>
      <c r="O7" s="324" t="s">
        <v>91</v>
      </c>
      <c r="P7" s="309"/>
    </row>
    <row r="8" spans="2:16" ht="16" thickBot="1" x14ac:dyDescent="0.4">
      <c r="B8" s="287" t="s">
        <v>126</v>
      </c>
      <c r="C8" s="288">
        <v>0.05</v>
      </c>
      <c r="D8" s="289">
        <f>+C8+1</f>
        <v>1.05</v>
      </c>
      <c r="E8" s="290"/>
      <c r="F8" s="291"/>
      <c r="I8" s="312"/>
      <c r="J8" s="323"/>
      <c r="K8" s="323">
        <v>50000</v>
      </c>
      <c r="L8" s="321"/>
      <c r="M8" s="323"/>
      <c r="N8" s="323"/>
      <c r="O8" s="324"/>
      <c r="P8" s="309"/>
    </row>
    <row r="9" spans="2:16" ht="15.5" x14ac:dyDescent="0.35">
      <c r="I9" s="312"/>
      <c r="J9" s="323" t="s">
        <v>82</v>
      </c>
      <c r="K9" s="323">
        <f>K8</f>
        <v>50000</v>
      </c>
      <c r="L9" s="321" t="str">
        <f>IF(AND($K$4&gt;=K9,$K$4&lt;=K10),N9,O9)</f>
        <v>No</v>
      </c>
      <c r="M9" s="323">
        <v>9000</v>
      </c>
      <c r="N9" s="323" t="s">
        <v>81</v>
      </c>
      <c r="O9" s="324" t="s">
        <v>91</v>
      </c>
      <c r="P9" s="309"/>
    </row>
    <row r="10" spans="2:16" ht="15.5" x14ac:dyDescent="0.35">
      <c r="I10" s="312"/>
      <c r="J10" s="323"/>
      <c r="K10" s="323">
        <v>150000</v>
      </c>
      <c r="L10" s="321"/>
      <c r="M10" s="323"/>
      <c r="N10" s="322"/>
      <c r="O10" s="324"/>
      <c r="P10" s="309"/>
    </row>
    <row r="11" spans="2:16" ht="15.5" x14ac:dyDescent="0.35">
      <c r="I11" s="312"/>
      <c r="J11" s="323" t="s">
        <v>83</v>
      </c>
      <c r="K11" s="323">
        <f>K10</f>
        <v>150000</v>
      </c>
      <c r="L11" s="321" t="str">
        <f>IF(AND($K$4&gt;=K11,$K$4&lt;=K12),N11,O11)</f>
        <v>No</v>
      </c>
      <c r="M11" s="323">
        <v>10000</v>
      </c>
      <c r="N11" s="323" t="s">
        <v>81</v>
      </c>
      <c r="O11" s="324" t="s">
        <v>91</v>
      </c>
      <c r="P11" s="309"/>
    </row>
    <row r="12" spans="2:16" ht="15.5" x14ac:dyDescent="0.35">
      <c r="I12" s="312"/>
      <c r="J12" s="323"/>
      <c r="K12" s="323">
        <v>350000</v>
      </c>
      <c r="L12" s="321"/>
      <c r="M12" s="323"/>
      <c r="N12" s="322"/>
      <c r="O12" s="324"/>
      <c r="P12" s="309"/>
    </row>
    <row r="13" spans="2:16" ht="16" thickBot="1" x14ac:dyDescent="0.4">
      <c r="I13" s="312"/>
      <c r="J13" s="323" t="s">
        <v>84</v>
      </c>
      <c r="K13" s="323">
        <f>K12</f>
        <v>350000</v>
      </c>
      <c r="L13" s="321" t="str">
        <f>IF(AND($K$4&gt;=K13,$K$4&lt;=K14),N13,O13)</f>
        <v>No</v>
      </c>
      <c r="M13" s="323">
        <v>12500</v>
      </c>
      <c r="N13" s="323" t="s">
        <v>81</v>
      </c>
      <c r="O13" s="324" t="s">
        <v>91</v>
      </c>
      <c r="P13" s="309"/>
    </row>
    <row r="14" spans="2:16" ht="16" thickBot="1" x14ac:dyDescent="0.4">
      <c r="B14" s="292" t="s">
        <v>164</v>
      </c>
      <c r="C14" s="293" t="s">
        <v>171</v>
      </c>
      <c r="I14" s="312"/>
      <c r="J14" s="323"/>
      <c r="K14" s="323">
        <v>500000</v>
      </c>
      <c r="L14" s="321"/>
      <c r="M14" s="323"/>
      <c r="N14" s="322"/>
      <c r="O14" s="324"/>
      <c r="P14" s="309"/>
    </row>
    <row r="15" spans="2:16" ht="18.5" x14ac:dyDescent="0.45">
      <c r="B15" s="294" t="s">
        <v>169</v>
      </c>
      <c r="C15" s="295">
        <v>0</v>
      </c>
      <c r="I15" s="312"/>
      <c r="J15" s="323" t="s">
        <v>85</v>
      </c>
      <c r="K15" s="323">
        <f>K14</f>
        <v>500000</v>
      </c>
      <c r="L15" s="321" t="str">
        <f>IF(AND($K$4&gt;=K15,$K$4&lt;=K16),N15,O15)</f>
        <v>No</v>
      </c>
      <c r="M15" s="323">
        <v>14000</v>
      </c>
      <c r="N15" s="323" t="s">
        <v>81</v>
      </c>
      <c r="O15" s="324" t="s">
        <v>91</v>
      </c>
      <c r="P15" s="309"/>
    </row>
    <row r="16" spans="2:16" ht="18.5" x14ac:dyDescent="0.45">
      <c r="B16" s="296" t="s">
        <v>147</v>
      </c>
      <c r="C16" s="297">
        <v>0</v>
      </c>
      <c r="I16" s="312"/>
      <c r="J16" s="323"/>
      <c r="K16" s="323">
        <v>750000</v>
      </c>
      <c r="L16" s="321"/>
      <c r="M16" s="323"/>
      <c r="N16" s="322"/>
      <c r="O16" s="324"/>
      <c r="P16" s="309"/>
    </row>
    <row r="17" spans="1:16" ht="18.5" x14ac:dyDescent="0.45">
      <c r="B17" s="294" t="s">
        <v>148</v>
      </c>
      <c r="C17" s="295">
        <v>0</v>
      </c>
      <c r="I17" s="312"/>
      <c r="J17" s="323" t="s">
        <v>86</v>
      </c>
      <c r="K17" s="323">
        <v>750000</v>
      </c>
      <c r="L17" s="321" t="str">
        <f>IF(AND($K$4&gt;=K17,$K$4&lt;=K18),N17,O17)</f>
        <v>Yes</v>
      </c>
      <c r="M17" s="323">
        <v>15500</v>
      </c>
      <c r="N17" s="323" t="s">
        <v>81</v>
      </c>
      <c r="O17" s="324" t="s">
        <v>91</v>
      </c>
      <c r="P17" s="309"/>
    </row>
    <row r="18" spans="1:16" ht="18.5" x14ac:dyDescent="0.45">
      <c r="B18" s="298" t="s">
        <v>149</v>
      </c>
      <c r="C18" s="297">
        <v>0</v>
      </c>
      <c r="I18" s="312"/>
      <c r="J18" s="323"/>
      <c r="K18" s="323">
        <v>1000000</v>
      </c>
      <c r="L18" s="321"/>
      <c r="M18" s="323"/>
      <c r="N18" s="322"/>
      <c r="O18" s="324"/>
      <c r="P18" s="309"/>
    </row>
    <row r="19" spans="1:16" ht="18.5" x14ac:dyDescent="0.45">
      <c r="B19" s="294" t="s">
        <v>150</v>
      </c>
      <c r="C19" s="295">
        <v>0</v>
      </c>
      <c r="I19" s="312"/>
      <c r="J19" s="323" t="s">
        <v>87</v>
      </c>
      <c r="K19" s="323">
        <f>K18</f>
        <v>1000000</v>
      </c>
      <c r="L19" s="321" t="str">
        <f>IF(AND($K$4&gt;=K19,$K$4&lt;=K20),N19,O19)</f>
        <v>No</v>
      </c>
      <c r="M19" s="323">
        <v>16750</v>
      </c>
      <c r="N19" s="323" t="s">
        <v>81</v>
      </c>
      <c r="O19" s="324" t="s">
        <v>91</v>
      </c>
      <c r="P19" s="309"/>
    </row>
    <row r="20" spans="1:16" ht="18.5" x14ac:dyDescent="0.45">
      <c r="B20" s="298" t="s">
        <v>151</v>
      </c>
      <c r="C20" s="297">
        <v>0</v>
      </c>
      <c r="I20" s="312"/>
      <c r="J20" s="323"/>
      <c r="K20" s="323">
        <v>1250000</v>
      </c>
      <c r="L20" s="321"/>
      <c r="M20" s="323"/>
      <c r="N20" s="322"/>
      <c r="O20" s="324"/>
      <c r="P20" s="309"/>
    </row>
    <row r="21" spans="1:16" ht="18.5" x14ac:dyDescent="0.45">
      <c r="B21" s="294" t="s">
        <v>160</v>
      </c>
      <c r="C21" s="295">
        <v>0</v>
      </c>
      <c r="I21" s="312"/>
      <c r="J21" s="323" t="s">
        <v>88</v>
      </c>
      <c r="K21" s="323">
        <f>K20</f>
        <v>1250000</v>
      </c>
      <c r="L21" s="321" t="str">
        <f>IF(AND($K$4&gt;=K21,$K$4&lt;=K22),N21,O21)</f>
        <v>No</v>
      </c>
      <c r="M21" s="323">
        <v>19000</v>
      </c>
      <c r="N21" s="323" t="s">
        <v>81</v>
      </c>
      <c r="O21" s="324" t="s">
        <v>91</v>
      </c>
      <c r="P21" s="309"/>
    </row>
    <row r="22" spans="1:16" ht="18.5" x14ac:dyDescent="0.45">
      <c r="B22" s="298" t="s">
        <v>152</v>
      </c>
      <c r="C22" s="297">
        <v>0</v>
      </c>
      <c r="I22" s="312"/>
      <c r="J22" s="323"/>
      <c r="K22" s="323">
        <v>1500000</v>
      </c>
      <c r="L22" s="321"/>
      <c r="M22" s="323"/>
      <c r="N22" s="322"/>
      <c r="O22" s="324"/>
      <c r="P22" s="309"/>
    </row>
    <row r="23" spans="1:16" ht="18.5" x14ac:dyDescent="0.45">
      <c r="B23" s="294" t="s">
        <v>153</v>
      </c>
      <c r="C23" s="295">
        <v>0</v>
      </c>
      <c r="I23" s="312"/>
      <c r="J23" s="323" t="s">
        <v>89</v>
      </c>
      <c r="K23" s="323">
        <f>K22</f>
        <v>1500000</v>
      </c>
      <c r="L23" s="321" t="str">
        <f>IF(AND($K$4&gt;=K23,$K$4&lt;=K24),N23,O23)</f>
        <v>No</v>
      </c>
      <c r="M23" s="323">
        <v>20500</v>
      </c>
      <c r="N23" s="323" t="s">
        <v>81</v>
      </c>
      <c r="O23" s="324" t="s">
        <v>91</v>
      </c>
      <c r="P23" s="309"/>
    </row>
    <row r="24" spans="1:16" ht="18.5" x14ac:dyDescent="0.45">
      <c r="B24" s="298" t="s">
        <v>154</v>
      </c>
      <c r="C24" s="297">
        <v>0</v>
      </c>
      <c r="I24" s="312"/>
      <c r="J24" s="323"/>
      <c r="K24" s="323">
        <v>2000000</v>
      </c>
      <c r="L24" s="321"/>
      <c r="M24" s="322"/>
      <c r="N24" s="322"/>
      <c r="O24" s="324"/>
      <c r="P24" s="309"/>
    </row>
    <row r="25" spans="1:16" ht="19" thickBot="1" x14ac:dyDescent="0.5">
      <c r="B25" s="299" t="s">
        <v>155</v>
      </c>
      <c r="C25" s="300">
        <v>0</v>
      </c>
      <c r="I25" s="312"/>
      <c r="J25" s="323" t="s">
        <v>90</v>
      </c>
      <c r="K25" s="323">
        <f>K24</f>
        <v>2000000</v>
      </c>
      <c r="L25" s="321" t="str">
        <f>IF(AND($K$4&gt;=K25,$K$4&lt;=K26),N25,O25)</f>
        <v>No</v>
      </c>
      <c r="M25" s="323">
        <v>27500</v>
      </c>
      <c r="N25" s="323" t="s">
        <v>81</v>
      </c>
      <c r="O25" s="324" t="s">
        <v>91</v>
      </c>
      <c r="P25" s="309"/>
    </row>
    <row r="26" spans="1:16" ht="15.5" x14ac:dyDescent="0.35">
      <c r="B26" s="301"/>
      <c r="C26" s="302"/>
      <c r="D26" s="302"/>
      <c r="E26" s="302"/>
      <c r="I26" s="312"/>
      <c r="J26" s="323"/>
      <c r="K26" s="323">
        <v>500000000</v>
      </c>
      <c r="L26" s="321"/>
      <c r="M26" s="322"/>
      <c r="N26" s="322"/>
      <c r="O26" s="324"/>
      <c r="P26" s="309"/>
    </row>
    <row r="27" spans="1:16" ht="15.5" x14ac:dyDescent="0.35">
      <c r="A27" s="303"/>
      <c r="B27" s="304"/>
      <c r="C27" s="302"/>
      <c r="D27" s="302"/>
      <c r="E27" s="285"/>
      <c r="I27" s="312"/>
      <c r="J27" s="323" t="s">
        <v>131</v>
      </c>
      <c r="K27" s="323">
        <f>IF(L7="Yes",M7)+IF(L9="Yes",M9)+IF(L11="Yes",M11)+IF(L13="Yes",M13)+IF(L15="Yes",M15)+IF(L17="Yes",M17)+IF(L19="Yes",M19)+IF(L21="Yes",M21)+IF(L23="Yes",M23)</f>
        <v>15500</v>
      </c>
      <c r="L27" s="325"/>
      <c r="M27" s="322"/>
      <c r="N27" s="322"/>
      <c r="O27" s="324"/>
      <c r="P27" s="309"/>
    </row>
    <row r="28" spans="1:16" ht="15.5" x14ac:dyDescent="0.35">
      <c r="A28" s="303"/>
      <c r="B28" s="304"/>
      <c r="C28" s="302"/>
      <c r="D28" s="302"/>
      <c r="E28" s="285"/>
      <c r="I28" s="312"/>
      <c r="J28" s="323"/>
      <c r="K28" s="322"/>
      <c r="L28" s="325"/>
      <c r="M28" s="322"/>
      <c r="N28" s="322"/>
      <c r="O28" s="324"/>
      <c r="P28" s="309"/>
    </row>
    <row r="29" spans="1:16" ht="15.5" x14ac:dyDescent="0.35">
      <c r="A29" s="305"/>
      <c r="B29" s="304"/>
      <c r="C29" s="302"/>
      <c r="D29" s="302"/>
      <c r="E29" s="285"/>
      <c r="J29" s="320"/>
      <c r="K29" s="320"/>
      <c r="L29" s="320"/>
      <c r="M29" s="326" t="s">
        <v>146</v>
      </c>
      <c r="N29" s="320"/>
      <c r="O29" s="320"/>
    </row>
    <row r="30" spans="1:16" ht="15.5" x14ac:dyDescent="0.35">
      <c r="A30" s="306"/>
      <c r="B30" s="304"/>
      <c r="C30" s="302"/>
      <c r="D30" s="302"/>
      <c r="E30" s="285"/>
      <c r="J30" s="320"/>
      <c r="K30" s="320"/>
      <c r="L30" s="320"/>
      <c r="M30" s="327">
        <f t="shared" ref="M30:M35" si="0">+C15/250+IF(C15=0,1)</f>
        <v>1</v>
      </c>
      <c r="N30" s="320"/>
      <c r="O30" s="320"/>
    </row>
    <row r="31" spans="1:16" ht="15.5" x14ac:dyDescent="0.35">
      <c r="A31" s="306"/>
      <c r="B31" s="304"/>
      <c r="C31" s="302"/>
      <c r="D31" s="302"/>
      <c r="E31" s="285"/>
      <c r="J31" s="320"/>
      <c r="K31" s="320"/>
      <c r="L31" s="320"/>
      <c r="M31" s="327">
        <f t="shared" si="0"/>
        <v>1</v>
      </c>
      <c r="N31" s="320"/>
      <c r="O31" s="320"/>
    </row>
    <row r="32" spans="1:16" ht="15.5" x14ac:dyDescent="0.35">
      <c r="A32" s="305"/>
      <c r="B32" s="304"/>
      <c r="C32" s="302"/>
      <c r="D32" s="302"/>
      <c r="E32" s="285"/>
      <c r="J32" s="320"/>
      <c r="K32" s="320"/>
      <c r="L32" s="320"/>
      <c r="M32" s="327">
        <f t="shared" si="0"/>
        <v>1</v>
      </c>
      <c r="N32" s="320"/>
      <c r="O32" s="320"/>
    </row>
    <row r="33" spans="1:15" ht="15.5" x14ac:dyDescent="0.35">
      <c r="A33" s="306"/>
      <c r="B33" s="304"/>
      <c r="C33" s="302"/>
      <c r="D33" s="302"/>
      <c r="E33" s="285"/>
      <c r="J33" s="320"/>
      <c r="K33" s="320"/>
      <c r="L33" s="320"/>
      <c r="M33" s="327">
        <f t="shared" si="0"/>
        <v>1</v>
      </c>
      <c r="N33" s="320"/>
      <c r="O33" s="320"/>
    </row>
    <row r="34" spans="1:15" ht="15.5" x14ac:dyDescent="0.35">
      <c r="A34" s="306"/>
      <c r="B34" s="304"/>
      <c r="C34" s="302"/>
      <c r="D34" s="302"/>
      <c r="E34" s="285"/>
      <c r="J34" s="320"/>
      <c r="K34" s="320"/>
      <c r="L34" s="320"/>
      <c r="M34" s="327">
        <f t="shared" si="0"/>
        <v>1</v>
      </c>
      <c r="N34" s="320"/>
      <c r="O34" s="320"/>
    </row>
    <row r="35" spans="1:15" ht="15.5" x14ac:dyDescent="0.35">
      <c r="A35" s="305"/>
      <c r="B35" s="304"/>
      <c r="C35" s="302"/>
      <c r="D35" s="302"/>
      <c r="E35" s="285"/>
      <c r="J35" s="320"/>
      <c r="K35" s="320"/>
      <c r="L35" s="320"/>
      <c r="M35" s="327">
        <f t="shared" si="0"/>
        <v>1</v>
      </c>
      <c r="N35" s="320"/>
      <c r="O35" s="320"/>
    </row>
    <row r="36" spans="1:15" ht="15.5" x14ac:dyDescent="0.35">
      <c r="A36" s="306"/>
      <c r="B36" s="304"/>
      <c r="C36" s="302"/>
      <c r="D36" s="302"/>
      <c r="E36" s="285"/>
      <c r="J36" s="320"/>
      <c r="K36" s="320"/>
      <c r="L36" s="320"/>
      <c r="M36" s="327">
        <f>+C21/220+IF(C21=0,1)</f>
        <v>1</v>
      </c>
      <c r="N36" s="320"/>
      <c r="O36" s="320"/>
    </row>
    <row r="37" spans="1:15" ht="15.5" x14ac:dyDescent="0.35">
      <c r="A37" s="306"/>
      <c r="B37" s="304"/>
      <c r="C37" s="302"/>
      <c r="D37" s="302"/>
      <c r="E37" s="285"/>
      <c r="J37" s="320"/>
      <c r="K37" s="320"/>
      <c r="L37" s="320"/>
      <c r="M37" s="327">
        <f>+C22/150+IF(C22=0,1)</f>
        <v>1</v>
      </c>
      <c r="N37" s="320"/>
      <c r="O37" s="320"/>
    </row>
    <row r="38" spans="1:15" ht="15.5" x14ac:dyDescent="0.35">
      <c r="A38" s="305"/>
      <c r="B38" s="304"/>
      <c r="C38" s="302"/>
      <c r="D38" s="302"/>
      <c r="E38" s="285"/>
      <c r="J38" s="320"/>
      <c r="K38" s="320"/>
      <c r="L38" s="320"/>
      <c r="M38" s="327">
        <f>+C23/220+IF(C23=0,1)</f>
        <v>1</v>
      </c>
      <c r="N38" s="320"/>
      <c r="O38" s="320"/>
    </row>
    <row r="39" spans="1:15" ht="15.5" x14ac:dyDescent="0.35">
      <c r="A39" s="306"/>
      <c r="B39" s="304"/>
      <c r="C39" s="302"/>
      <c r="D39" s="302"/>
      <c r="E39" s="285"/>
      <c r="J39" s="320"/>
      <c r="K39" s="320"/>
      <c r="L39" s="320"/>
      <c r="M39" s="327">
        <f>+C24/400+IF(C24=0,1)</f>
        <v>1</v>
      </c>
      <c r="N39" s="320"/>
      <c r="O39" s="320"/>
    </row>
    <row r="40" spans="1:15" ht="15.5" x14ac:dyDescent="0.35">
      <c r="A40" s="306"/>
      <c r="B40" s="304"/>
      <c r="C40" s="302"/>
      <c r="D40" s="302"/>
      <c r="E40" s="285"/>
      <c r="J40" s="320"/>
      <c r="K40" s="320"/>
      <c r="L40" s="320"/>
      <c r="M40" s="327">
        <f>+C25/400+IF(C25=0,1)</f>
        <v>1</v>
      </c>
      <c r="N40" s="320"/>
      <c r="O40" s="320"/>
    </row>
    <row r="41" spans="1:15" ht="15.5" x14ac:dyDescent="0.35">
      <c r="A41" s="305"/>
      <c r="B41" s="304"/>
      <c r="C41" s="302"/>
      <c r="D41" s="302"/>
      <c r="E41" s="285"/>
      <c r="J41" s="328"/>
      <c r="K41" s="328"/>
      <c r="L41" s="328"/>
      <c r="M41" s="328"/>
      <c r="N41" s="328"/>
      <c r="O41" s="328"/>
    </row>
    <row r="42" spans="1:15" x14ac:dyDescent="0.35">
      <c r="J42" s="328"/>
      <c r="K42" s="328"/>
      <c r="L42" s="328"/>
      <c r="M42" s="328"/>
      <c r="N42" s="328"/>
      <c r="O42" s="328"/>
    </row>
    <row r="44" spans="1:15" ht="15.5" x14ac:dyDescent="0.35">
      <c r="J44" s="306"/>
      <c r="K44" s="310"/>
      <c r="L44" s="311"/>
      <c r="M44" s="311"/>
      <c r="N44" s="312"/>
    </row>
    <row r="45" spans="1:15" ht="15.5" x14ac:dyDescent="0.35">
      <c r="J45" s="306"/>
      <c r="K45" s="310"/>
      <c r="L45" s="311"/>
      <c r="M45" s="311"/>
      <c r="N45" s="312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3574D1-0E39-46F3-B144-49DB8EB3B7E4}">
  <ds:schemaRefs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82A1E4-4327-4E6F-917C-A57BE823E396}">
  <ds:schemaRefs>
    <ds:schemaRef ds:uri="http://www.w3.org/2001/XMLSchema"/>
  </ds:schemaRefs>
</ds:datastoreItem>
</file>

<file path=customXml/itemProps4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18</vt:i4>
      </vt:variant>
    </vt:vector>
  </HeadingPairs>
  <TitlesOfParts>
    <vt:vector size="39" baseType="lpstr">
      <vt:lpstr>Cover</vt:lpstr>
      <vt:lpstr>Qual, Excl &amp; Assum</vt:lpstr>
      <vt:lpstr>Documents</vt:lpstr>
      <vt:lpstr>Summary</vt:lpstr>
      <vt:lpstr>Demolition</vt:lpstr>
      <vt:lpstr>Substructure</vt:lpstr>
      <vt:lpstr>Superstructure</vt:lpstr>
      <vt:lpstr>Structural Steelwork</vt:lpstr>
      <vt:lpstr>Roof</vt:lpstr>
      <vt:lpstr>Windows, Doors &amp; Rooflights</vt:lpstr>
      <vt:lpstr>Partitions</vt:lpstr>
      <vt:lpstr>Joinery</vt:lpstr>
      <vt:lpstr>Decoration</vt:lpstr>
      <vt:lpstr>Floor finishes</vt:lpstr>
      <vt:lpstr>Wall finishes</vt:lpstr>
      <vt:lpstr>Kitchens &amp; Bathrooms</vt:lpstr>
      <vt:lpstr>Electrical</vt:lpstr>
      <vt:lpstr>Mechanical &amp; Plumbing</vt:lpstr>
      <vt:lpstr>Externals</vt:lpstr>
      <vt:lpstr>Preliminaries</vt:lpstr>
      <vt:lpstr>Details</vt:lpstr>
      <vt:lpstr>Cover!Print_Area</vt:lpstr>
      <vt:lpstr>Decoration!Print_Area</vt:lpstr>
      <vt:lpstr>Demolition!Print_Area</vt:lpstr>
      <vt:lpstr>Electrical!Print_Area</vt:lpstr>
      <vt:lpstr>Externals!Print_Area</vt:lpstr>
      <vt:lpstr>'Floor finishes'!Print_Area</vt:lpstr>
      <vt:lpstr>Joinery!Print_Area</vt:lpstr>
      <vt:lpstr>'Kitchens &amp; Bathrooms'!Print_Area</vt:lpstr>
      <vt:lpstr>'Mechanical &amp; Plumbing'!Print_Area</vt:lpstr>
      <vt:lpstr>Partitions!Print_Area</vt:lpstr>
      <vt:lpstr>Preliminaries!Print_Area</vt:lpstr>
      <vt:lpstr>Roof!Print_Area</vt:lpstr>
      <vt:lpstr>'Structural Steelwork'!Print_Area</vt:lpstr>
      <vt:lpstr>Substructure!Print_Area</vt:lpstr>
      <vt:lpstr>Summary!Print_Area</vt:lpstr>
      <vt:lpstr>Superstructure!Print_Area</vt:lpstr>
      <vt:lpstr>'Wall finishes'!Print_Area</vt:lpstr>
      <vt:lpstr>'Windows, Doors &amp; Rooflights'!Print_Area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COMET</cp:lastModifiedBy>
  <cp:lastPrinted>2025-07-27T18:26:52Z</cp:lastPrinted>
  <dcterms:created xsi:type="dcterms:W3CDTF">2009-09-18T08:39:19Z</dcterms:created>
  <dcterms:modified xsi:type="dcterms:W3CDTF">2025-11-26T05:00:43Z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{8782A1E4-4327-4E6F-917C-A57BE823E396}</vt:lpwstr>
  </property>
</Properties>
</file>