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trlProps/ctrlProp1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sameer\Downloads\JOBS DONE\"/>
    </mc:Choice>
  </mc:AlternateContent>
  <xr:revisionPtr revIDLastSave="0" documentId="13_ncr:1_{C453B353-E1B2-4D27-A17C-3EE981CEC800}" xr6:coauthVersionLast="36" xr6:coauthVersionMax="47" xr10:uidLastSave="{00000000-0000-0000-0000-000000000000}"/>
  <bookViews>
    <workbookView xWindow="0" yWindow="0" windowWidth="23040" windowHeight="9828" tabRatio="868" activeTab="2" xr2:uid="{00000000-000D-0000-FFFF-FFFF00000000}"/>
  </bookViews>
  <sheets>
    <sheet name="Cover" sheetId="87" r:id="rId1"/>
    <sheet name="Qual, Excl &amp; Assum" sheetId="95" r:id="rId2"/>
    <sheet name="Documents" sheetId="108" r:id="rId3"/>
    <sheet name="Summary" sheetId="109" r:id="rId4"/>
    <sheet name="Demolition" sheetId="79" r:id="rId5"/>
    <sheet name="Substructure" sheetId="100" r:id="rId6"/>
    <sheet name="Superstructure" sheetId="101" r:id="rId7"/>
    <sheet name="Structural Steelwork" sheetId="107" r:id="rId8"/>
    <sheet name="Roof" sheetId="105" r:id="rId9"/>
    <sheet name="Windows, Doors &amp; Rooflights" sheetId="110" r:id="rId10"/>
    <sheet name="Partitions" sheetId="77" r:id="rId11"/>
    <sheet name="Joinery" sheetId="90" r:id="rId12"/>
    <sheet name="Decoration" sheetId="91" r:id="rId13"/>
    <sheet name="Floor finishes" sheetId="92" r:id="rId14"/>
    <sheet name="Wall finishes" sheetId="106" r:id="rId15"/>
    <sheet name="Kitchens &amp; Bathrooms" sheetId="82" r:id="rId16"/>
    <sheet name="Electrical" sheetId="93" r:id="rId17"/>
    <sheet name="Mechanical" sheetId="78" r:id="rId18"/>
    <sheet name="Preliminaries" sheetId="97" r:id="rId19"/>
    <sheet name="Details" sheetId="111" r:id="rId20"/>
  </sheets>
  <definedNames>
    <definedName name="_xlnm._FilterDatabase" localSheetId="5" hidden="1">Substructure!$E$1:$E$131</definedName>
    <definedName name="_xlnm.Print_Area" localSheetId="0">Cover!$A$1:$L$65</definedName>
    <definedName name="_xlnm.Print_Area" localSheetId="12">Decoration!$A$1:$F$29</definedName>
    <definedName name="_xlnm.Print_Area" localSheetId="4">Demolition!$A$1:$F$53</definedName>
    <definedName name="_xlnm.Print_Area" localSheetId="16">Electrical!$A$1:$F$61</definedName>
    <definedName name="_xlnm.Print_Area" localSheetId="13">'Floor finishes'!$A$1:$F$22</definedName>
    <definedName name="_xlnm.Print_Area" localSheetId="11">Joinery!$A$1:$F$122</definedName>
    <definedName name="_xlnm.Print_Area" localSheetId="15">'Kitchens &amp; Bathrooms'!$A$1:$F$59</definedName>
    <definedName name="_xlnm.Print_Area" localSheetId="17">Mechanical!$A$1:$F$60</definedName>
    <definedName name="_xlnm.Print_Area" localSheetId="10">Partitions!$A$1:$F$101</definedName>
    <definedName name="_xlnm.Print_Area" localSheetId="18">Preliminaries!$A$1:$F$66</definedName>
    <definedName name="_xlnm.Print_Area" localSheetId="8">Roof!$A$1:$F$55</definedName>
    <definedName name="_xlnm.Print_Area" localSheetId="7">'Structural Steelwork'!$A$1:$F$24</definedName>
    <definedName name="_xlnm.Print_Area" localSheetId="5">Substructure!$A$1:$F$131</definedName>
    <definedName name="_xlnm.Print_Area" localSheetId="3">Summary!$A$1:$D$43</definedName>
    <definedName name="_xlnm.Print_Area" localSheetId="6">Superstructure!$A$1:$F$66</definedName>
    <definedName name="_xlnm.Print_Area" localSheetId="14">'Wall finishes'!$A$1:$F$19</definedName>
    <definedName name="_xlnm.Print_Area" localSheetId="9">'Windows, Doors &amp; Rooflights'!$A$1:$H$35</definedName>
  </definedNames>
  <calcPr calcId="191029"/>
</workbook>
</file>

<file path=xl/calcChain.xml><?xml version="1.0" encoding="utf-8"?>
<calcChain xmlns="http://schemas.openxmlformats.org/spreadsheetml/2006/main">
  <c r="D40" i="109" l="1"/>
  <c r="D36" i="109"/>
  <c r="F65" i="97"/>
  <c r="F59" i="78"/>
  <c r="E55" i="78"/>
  <c r="F55" i="78" s="1"/>
  <c r="E53" i="78"/>
  <c r="F53" i="78" s="1"/>
  <c r="E49" i="78"/>
  <c r="F49" i="78" s="1"/>
  <c r="E45" i="78"/>
  <c r="F45" i="78" s="1"/>
  <c r="E41" i="78"/>
  <c r="F41" i="78" s="1"/>
  <c r="E39" i="78"/>
  <c r="F39" i="78" s="1"/>
  <c r="E37" i="78"/>
  <c r="F37" i="78" s="1"/>
  <c r="E33" i="78"/>
  <c r="F33" i="78" s="1"/>
  <c r="E31" i="78"/>
  <c r="F31" i="78" s="1"/>
  <c r="E27" i="78"/>
  <c r="F27" i="78" s="1"/>
  <c r="E25" i="78"/>
  <c r="F25" i="78" s="1"/>
  <c r="E23" i="78"/>
  <c r="F23" i="78" s="1"/>
  <c r="E19" i="78"/>
  <c r="F19" i="78" s="1"/>
  <c r="E17" i="78"/>
  <c r="F17" i="78" s="1"/>
  <c r="E13" i="78"/>
  <c r="F13" i="78"/>
  <c r="E11" i="78"/>
  <c r="F11" i="78" s="1"/>
  <c r="F60" i="93"/>
  <c r="E57" i="93"/>
  <c r="F57" i="93" s="1"/>
  <c r="E55" i="93"/>
  <c r="F55" i="93" s="1"/>
  <c r="E51" i="93"/>
  <c r="F51" i="93" s="1"/>
  <c r="E47" i="93"/>
  <c r="F47" i="93" s="1"/>
  <c r="E43" i="93"/>
  <c r="F43" i="93"/>
  <c r="E41" i="93"/>
  <c r="F41" i="93" s="1"/>
  <c r="E33" i="93"/>
  <c r="F33" i="93"/>
  <c r="E35" i="93"/>
  <c r="F35" i="93"/>
  <c r="E37" i="93"/>
  <c r="F37" i="93"/>
  <c r="E31" i="93"/>
  <c r="F31" i="93" s="1"/>
  <c r="F21" i="93"/>
  <c r="E15" i="93"/>
  <c r="F15" i="93"/>
  <c r="A15" i="93" s="1"/>
  <c r="E17" i="93"/>
  <c r="F17" i="93"/>
  <c r="E19" i="93"/>
  <c r="F19" i="93"/>
  <c r="E21" i="93"/>
  <c r="E23" i="93"/>
  <c r="F23" i="93"/>
  <c r="E25" i="93"/>
  <c r="F25" i="93"/>
  <c r="E27" i="93"/>
  <c r="F27" i="93"/>
  <c r="E13" i="93"/>
  <c r="F13" i="93" s="1"/>
  <c r="F58" i="82"/>
  <c r="E39" i="82"/>
  <c r="F39" i="82"/>
  <c r="E41" i="82"/>
  <c r="F41" i="82"/>
  <c r="E43" i="82"/>
  <c r="F43" i="82"/>
  <c r="E45" i="82"/>
  <c r="F45" i="82"/>
  <c r="E47" i="82"/>
  <c r="F47" i="82"/>
  <c r="E49" i="82"/>
  <c r="F49" i="82"/>
  <c r="E51" i="82"/>
  <c r="F51" i="82"/>
  <c r="E53" i="82"/>
  <c r="F53" i="82"/>
  <c r="E55" i="82"/>
  <c r="F55" i="82"/>
  <c r="E37" i="82"/>
  <c r="F37" i="82" s="1"/>
  <c r="E27" i="82"/>
  <c r="F27" i="82"/>
  <c r="E29" i="82"/>
  <c r="F29" i="82"/>
  <c r="E31" i="82"/>
  <c r="F31" i="82"/>
  <c r="E25" i="82"/>
  <c r="F25" i="82" s="1"/>
  <c r="E12" i="82"/>
  <c r="F12" i="82"/>
  <c r="E14" i="82"/>
  <c r="F14" i="82"/>
  <c r="E16" i="82"/>
  <c r="F16" i="82"/>
  <c r="E18" i="82"/>
  <c r="F18" i="82"/>
  <c r="E20" i="82"/>
  <c r="F20" i="82"/>
  <c r="E22" i="82"/>
  <c r="F22" i="82"/>
  <c r="E10" i="82"/>
  <c r="F10" i="82" s="1"/>
  <c r="F18" i="106"/>
  <c r="E11" i="106"/>
  <c r="F11" i="106" s="1"/>
  <c r="E11" i="92"/>
  <c r="F21" i="92"/>
  <c r="E13" i="92"/>
  <c r="E15" i="92"/>
  <c r="E17" i="92"/>
  <c r="E19" i="92"/>
  <c r="F19" i="92" s="1"/>
  <c r="F28" i="91"/>
  <c r="F19" i="91"/>
  <c r="F21" i="91"/>
  <c r="F23" i="91"/>
  <c r="F25" i="91"/>
  <c r="F17" i="91"/>
  <c r="F11" i="91"/>
  <c r="F13" i="91"/>
  <c r="F9" i="91"/>
  <c r="E19" i="91"/>
  <c r="E21" i="91"/>
  <c r="E23" i="91"/>
  <c r="E25" i="91"/>
  <c r="E17" i="91"/>
  <c r="E11" i="91"/>
  <c r="E13" i="91"/>
  <c r="E9" i="91"/>
  <c r="E119" i="90"/>
  <c r="E117" i="90"/>
  <c r="E109" i="90"/>
  <c r="E111" i="90"/>
  <c r="E113" i="90"/>
  <c r="F113" i="90" s="1"/>
  <c r="E107" i="90"/>
  <c r="E103" i="90"/>
  <c r="E101" i="90"/>
  <c r="E99" i="90"/>
  <c r="E95" i="90"/>
  <c r="E61" i="90"/>
  <c r="F61" i="90" s="1"/>
  <c r="E63" i="90"/>
  <c r="E65" i="90"/>
  <c r="F65" i="90" s="1"/>
  <c r="E67" i="90"/>
  <c r="E69" i="90"/>
  <c r="E71" i="90"/>
  <c r="F71" i="90" s="1"/>
  <c r="E73" i="90"/>
  <c r="E75" i="90"/>
  <c r="F75" i="90" s="1"/>
  <c r="E77" i="90"/>
  <c r="F77" i="90" s="1"/>
  <c r="E79" i="90"/>
  <c r="E81" i="90"/>
  <c r="F81" i="90" s="1"/>
  <c r="E83" i="90"/>
  <c r="F83" i="90" s="1"/>
  <c r="E85" i="90"/>
  <c r="E87" i="90"/>
  <c r="F87" i="90" s="1"/>
  <c r="E89" i="90"/>
  <c r="E91" i="90"/>
  <c r="F91" i="90" s="1"/>
  <c r="E93" i="90"/>
  <c r="E59" i="90"/>
  <c r="E54" i="90"/>
  <c r="E50" i="90"/>
  <c r="E39" i="90"/>
  <c r="E41" i="90"/>
  <c r="E43" i="90"/>
  <c r="E45" i="90"/>
  <c r="E37" i="90"/>
  <c r="E25" i="90"/>
  <c r="E27" i="90"/>
  <c r="E29" i="90"/>
  <c r="E31" i="90"/>
  <c r="E33" i="90"/>
  <c r="E23" i="90"/>
  <c r="E13" i="90"/>
  <c r="E15" i="90"/>
  <c r="E17" i="90"/>
  <c r="E19" i="90"/>
  <c r="E11" i="90"/>
  <c r="F100" i="77"/>
  <c r="E95" i="77"/>
  <c r="E83" i="77"/>
  <c r="F83" i="77" s="1"/>
  <c r="E77" i="77"/>
  <c r="E73" i="77"/>
  <c r="E71" i="77"/>
  <c r="E69" i="77"/>
  <c r="E65" i="77"/>
  <c r="E61" i="77"/>
  <c r="E59" i="77"/>
  <c r="E53" i="77"/>
  <c r="E51" i="77"/>
  <c r="E49" i="77"/>
  <c r="E47" i="77"/>
  <c r="E37" i="77"/>
  <c r="E39" i="77"/>
  <c r="E41" i="77"/>
  <c r="E43" i="77"/>
  <c r="F43" i="77" s="1"/>
  <c r="E35" i="77"/>
  <c r="E25" i="77"/>
  <c r="E27" i="77"/>
  <c r="E29" i="77"/>
  <c r="F29" i="77" s="1"/>
  <c r="E31" i="77"/>
  <c r="F31" i="77" s="1"/>
  <c r="E23" i="77"/>
  <c r="E15" i="77"/>
  <c r="E17" i="77"/>
  <c r="E19" i="77"/>
  <c r="E13" i="77"/>
  <c r="H34" i="110"/>
  <c r="G30" i="110"/>
  <c r="G17" i="110"/>
  <c r="G19" i="110"/>
  <c r="G21" i="110"/>
  <c r="H21" i="110" s="1"/>
  <c r="G23" i="110"/>
  <c r="H23" i="110" s="1"/>
  <c r="G25" i="110"/>
  <c r="G15" i="110"/>
  <c r="F54" i="105"/>
  <c r="F38" i="105"/>
  <c r="F26" i="105"/>
  <c r="F28" i="105"/>
  <c r="F30" i="105"/>
  <c r="F32" i="105"/>
  <c r="F34" i="105"/>
  <c r="F24" i="105"/>
  <c r="F12" i="105"/>
  <c r="F14" i="105"/>
  <c r="F16" i="105"/>
  <c r="F18" i="105"/>
  <c r="F20" i="105"/>
  <c r="F10" i="105"/>
  <c r="E52" i="105"/>
  <c r="E50" i="105"/>
  <c r="E46" i="105"/>
  <c r="E44" i="105"/>
  <c r="E40" i="105"/>
  <c r="E38" i="105"/>
  <c r="E26" i="105"/>
  <c r="E28" i="105"/>
  <c r="E30" i="105"/>
  <c r="E32" i="105"/>
  <c r="E34" i="105"/>
  <c r="E24" i="105"/>
  <c r="E12" i="105"/>
  <c r="E14" i="105"/>
  <c r="E16" i="105"/>
  <c r="E18" i="105"/>
  <c r="E20" i="105"/>
  <c r="E10" i="105"/>
  <c r="F23" i="107"/>
  <c r="E20" i="107"/>
  <c r="E13" i="107"/>
  <c r="E15" i="107"/>
  <c r="F15" i="107" s="1"/>
  <c r="E17" i="107"/>
  <c r="F17" i="107" s="1"/>
  <c r="E11" i="107"/>
  <c r="F65" i="101"/>
  <c r="E63" i="101"/>
  <c r="E60" i="101"/>
  <c r="E57" i="101"/>
  <c r="E55" i="101"/>
  <c r="E52" i="101"/>
  <c r="E44" i="101"/>
  <c r="E47" i="101"/>
  <c r="E49" i="101"/>
  <c r="F49" i="101" s="1"/>
  <c r="E41" i="101"/>
  <c r="E38" i="101"/>
  <c r="E28" i="101"/>
  <c r="E30" i="101"/>
  <c r="E32" i="101"/>
  <c r="F32" i="101" s="1"/>
  <c r="E34" i="101"/>
  <c r="F34" i="101" s="1"/>
  <c r="E36" i="101"/>
  <c r="F38" i="101"/>
  <c r="E26" i="101"/>
  <c r="E22" i="101"/>
  <c r="E20" i="101"/>
  <c r="E14" i="101"/>
  <c r="E16" i="101"/>
  <c r="E12" i="101"/>
  <c r="L130" i="100"/>
  <c r="K130" i="100"/>
  <c r="P130" i="100"/>
  <c r="F130" i="100"/>
  <c r="E126" i="100"/>
  <c r="E123" i="100"/>
  <c r="E121" i="100"/>
  <c r="E110" i="100"/>
  <c r="E112" i="100"/>
  <c r="E114" i="100"/>
  <c r="E116" i="100"/>
  <c r="E118" i="100"/>
  <c r="E108" i="100"/>
  <c r="E104" i="100"/>
  <c r="E97" i="100"/>
  <c r="E99" i="100"/>
  <c r="E101" i="100"/>
  <c r="F101" i="100" s="1"/>
  <c r="E95" i="100"/>
  <c r="E85" i="100"/>
  <c r="E87" i="100"/>
  <c r="E89" i="100"/>
  <c r="E91" i="100"/>
  <c r="F91" i="100" s="1"/>
  <c r="E83" i="100"/>
  <c r="E78" i="100"/>
  <c r="E76" i="100"/>
  <c r="E73" i="100"/>
  <c r="E71" i="100"/>
  <c r="E66" i="100"/>
  <c r="E68" i="100"/>
  <c r="E64" i="100"/>
  <c r="E57" i="100"/>
  <c r="E59" i="100"/>
  <c r="E61" i="100"/>
  <c r="E55" i="100"/>
  <c r="E48" i="100"/>
  <c r="E50" i="100"/>
  <c r="E52" i="100"/>
  <c r="E46" i="100"/>
  <c r="E15" i="100"/>
  <c r="E12" i="100"/>
  <c r="E17" i="100"/>
  <c r="E20" i="100"/>
  <c r="E22" i="100"/>
  <c r="E24" i="100"/>
  <c r="E26" i="100"/>
  <c r="E28" i="100"/>
  <c r="E30" i="100"/>
  <c r="E32" i="100"/>
  <c r="E34" i="100"/>
  <c r="E36" i="100"/>
  <c r="E38" i="100"/>
  <c r="E40" i="100"/>
  <c r="E42" i="100"/>
  <c r="E10" i="100"/>
  <c r="E11" i="79"/>
  <c r="E13" i="79"/>
  <c r="F13" i="79" s="1"/>
  <c r="E15" i="79"/>
  <c r="E17" i="79"/>
  <c r="F17" i="79" s="1"/>
  <c r="E19" i="79"/>
  <c r="E21" i="79"/>
  <c r="E23" i="79"/>
  <c r="F23" i="79" s="1"/>
  <c r="E25" i="79"/>
  <c r="F25" i="79" s="1"/>
  <c r="E27" i="79"/>
  <c r="E29" i="79"/>
  <c r="E31" i="79"/>
  <c r="F31" i="79" s="1"/>
  <c r="E33" i="79"/>
  <c r="F33" i="79" s="1"/>
  <c r="E35" i="79"/>
  <c r="E37" i="79"/>
  <c r="F37" i="79" s="1"/>
  <c r="E39" i="79"/>
  <c r="F39" i="79" s="1"/>
  <c r="E41" i="79"/>
  <c r="F41" i="79" s="1"/>
  <c r="E43" i="79"/>
  <c r="E45" i="79"/>
  <c r="F45" i="79" s="1"/>
  <c r="E47" i="79"/>
  <c r="E49" i="79"/>
  <c r="F49" i="79" s="1"/>
  <c r="F9" i="79"/>
  <c r="E9" i="79"/>
  <c r="L11" i="90"/>
  <c r="K11" i="90"/>
  <c r="J11" i="90"/>
  <c r="N11" i="90" s="1"/>
  <c r="I11" i="90"/>
  <c r="M11" i="90" s="1"/>
  <c r="F11" i="90"/>
  <c r="J13" i="90"/>
  <c r="I13" i="90"/>
  <c r="J15" i="90"/>
  <c r="I15" i="90"/>
  <c r="J17" i="90"/>
  <c r="I17" i="90"/>
  <c r="J19" i="90"/>
  <c r="I19" i="90"/>
  <c r="L23" i="90"/>
  <c r="K23" i="90"/>
  <c r="J23" i="90"/>
  <c r="N23" i="90" s="1"/>
  <c r="I23" i="90"/>
  <c r="M23" i="90" s="1"/>
  <c r="F23" i="90"/>
  <c r="J25" i="90"/>
  <c r="I25" i="90"/>
  <c r="J27" i="90"/>
  <c r="I27" i="90"/>
  <c r="J29" i="90"/>
  <c r="I29" i="90"/>
  <c r="J31" i="90"/>
  <c r="I31" i="90"/>
  <c r="J33" i="90"/>
  <c r="I33" i="90"/>
  <c r="L37" i="90"/>
  <c r="K37" i="90"/>
  <c r="J37" i="90"/>
  <c r="N37" i="90" s="1"/>
  <c r="I37" i="90"/>
  <c r="M37" i="90" s="1"/>
  <c r="F37" i="90"/>
  <c r="J39" i="90"/>
  <c r="I39" i="90"/>
  <c r="J41" i="90"/>
  <c r="I41" i="90"/>
  <c r="J43" i="90"/>
  <c r="I43" i="90"/>
  <c r="J45" i="90"/>
  <c r="I45" i="90"/>
  <c r="L50" i="90"/>
  <c r="K50" i="90"/>
  <c r="J50" i="90"/>
  <c r="N50" i="90" s="1"/>
  <c r="I50" i="90"/>
  <c r="M50" i="90" s="1"/>
  <c r="F50" i="90"/>
  <c r="L54" i="90"/>
  <c r="K54" i="90"/>
  <c r="J54" i="90"/>
  <c r="N54" i="90" s="1"/>
  <c r="I54" i="90"/>
  <c r="M54" i="90" s="1"/>
  <c r="F54" i="90"/>
  <c r="L91" i="77"/>
  <c r="K91" i="77"/>
  <c r="J91" i="77"/>
  <c r="N91" i="77" s="1"/>
  <c r="I91" i="77"/>
  <c r="M91" i="77" s="1"/>
  <c r="F33" i="97"/>
  <c r="F31" i="97"/>
  <c r="F29" i="97"/>
  <c r="F27" i="97"/>
  <c r="F25" i="97"/>
  <c r="F23" i="97"/>
  <c r="F21" i="97"/>
  <c r="F19" i="97"/>
  <c r="F17" i="97"/>
  <c r="F15" i="97"/>
  <c r="F13" i="97"/>
  <c r="F11" i="97"/>
  <c r="L37" i="78"/>
  <c r="K37" i="78"/>
  <c r="J37" i="78"/>
  <c r="N37" i="78" s="1"/>
  <c r="I37" i="78"/>
  <c r="M37" i="78" s="1"/>
  <c r="A35" i="78"/>
  <c r="A114" i="90"/>
  <c r="A115" i="90"/>
  <c r="A116" i="90"/>
  <c r="A120" i="90"/>
  <c r="L119" i="90"/>
  <c r="K119" i="90"/>
  <c r="J119" i="90"/>
  <c r="N119" i="90" s="1"/>
  <c r="I119" i="90"/>
  <c r="M119" i="90" s="1"/>
  <c r="F119" i="90"/>
  <c r="L117" i="90"/>
  <c r="K117" i="90"/>
  <c r="J117" i="90"/>
  <c r="N117" i="90" s="1"/>
  <c r="I117" i="90"/>
  <c r="M117" i="90" s="1"/>
  <c r="F117" i="90"/>
  <c r="A110" i="90"/>
  <c r="A112" i="90"/>
  <c r="L113" i="90"/>
  <c r="K113" i="90"/>
  <c r="J113" i="90"/>
  <c r="N113" i="90" s="1"/>
  <c r="I113" i="90"/>
  <c r="M113" i="90" s="1"/>
  <c r="L111" i="90"/>
  <c r="K111" i="90"/>
  <c r="J111" i="90"/>
  <c r="N111" i="90" s="1"/>
  <c r="I111" i="90"/>
  <c r="M111" i="90" s="1"/>
  <c r="F111" i="90"/>
  <c r="A14" i="91"/>
  <c r="A15" i="91"/>
  <c r="A16" i="91"/>
  <c r="L25" i="91"/>
  <c r="K25" i="91"/>
  <c r="J25" i="91"/>
  <c r="N25" i="91" s="1"/>
  <c r="I25" i="91"/>
  <c r="M25" i="91" s="1"/>
  <c r="L23" i="91"/>
  <c r="K23" i="91"/>
  <c r="J23" i="91"/>
  <c r="N23" i="91" s="1"/>
  <c r="I23" i="91"/>
  <c r="M23" i="91" s="1"/>
  <c r="L21" i="91"/>
  <c r="K21" i="91"/>
  <c r="J21" i="91"/>
  <c r="N21" i="91" s="1"/>
  <c r="I21" i="91"/>
  <c r="M21" i="91" s="1"/>
  <c r="L19" i="91"/>
  <c r="K19" i="91"/>
  <c r="J19" i="91"/>
  <c r="N19" i="91" s="1"/>
  <c r="I19" i="91"/>
  <c r="M19" i="91" s="1"/>
  <c r="L17" i="91"/>
  <c r="K17" i="91"/>
  <c r="J17" i="91"/>
  <c r="N17" i="91" s="1"/>
  <c r="I17" i="91"/>
  <c r="M17" i="91" s="1"/>
  <c r="L55" i="78"/>
  <c r="K55" i="78"/>
  <c r="J55" i="78"/>
  <c r="N55" i="78" s="1"/>
  <c r="I55" i="78"/>
  <c r="M55" i="78" s="1"/>
  <c r="L53" i="78"/>
  <c r="K53" i="78"/>
  <c r="J53" i="78"/>
  <c r="N53" i="78" s="1"/>
  <c r="I53" i="78"/>
  <c r="M53" i="78" s="1"/>
  <c r="L49" i="78"/>
  <c r="K49" i="78"/>
  <c r="J49" i="78"/>
  <c r="N49" i="78" s="1"/>
  <c r="I49" i="78"/>
  <c r="M49" i="78" s="1"/>
  <c r="L45" i="78"/>
  <c r="K45" i="78"/>
  <c r="J45" i="78"/>
  <c r="N45" i="78" s="1"/>
  <c r="I45" i="78"/>
  <c r="M45" i="78" s="1"/>
  <c r="L41" i="78"/>
  <c r="K41" i="78"/>
  <c r="J41" i="78"/>
  <c r="N41" i="78" s="1"/>
  <c r="I41" i="78"/>
  <c r="M41" i="78" s="1"/>
  <c r="L39" i="78"/>
  <c r="K39" i="78"/>
  <c r="J39" i="78"/>
  <c r="N39" i="78" s="1"/>
  <c r="I39" i="78"/>
  <c r="M39" i="78" s="1"/>
  <c r="L33" i="78"/>
  <c r="K33" i="78"/>
  <c r="J33" i="78"/>
  <c r="N33" i="78" s="1"/>
  <c r="I33" i="78"/>
  <c r="M33" i="78" s="1"/>
  <c r="L31" i="78"/>
  <c r="K31" i="78"/>
  <c r="J31" i="78"/>
  <c r="N31" i="78" s="1"/>
  <c r="I31" i="78"/>
  <c r="M31" i="78" s="1"/>
  <c r="L27" i="78"/>
  <c r="K27" i="78"/>
  <c r="J27" i="78"/>
  <c r="N27" i="78" s="1"/>
  <c r="I27" i="78"/>
  <c r="M27" i="78" s="1"/>
  <c r="L25" i="78"/>
  <c r="K25" i="78"/>
  <c r="J25" i="78"/>
  <c r="N25" i="78" s="1"/>
  <c r="I25" i="78"/>
  <c r="M25" i="78" s="1"/>
  <c r="L23" i="78"/>
  <c r="K23" i="78"/>
  <c r="J23" i="78"/>
  <c r="N23" i="78" s="1"/>
  <c r="I23" i="78"/>
  <c r="M23" i="78" s="1"/>
  <c r="L19" i="78"/>
  <c r="K19" i="78"/>
  <c r="J19" i="78"/>
  <c r="N19" i="78" s="1"/>
  <c r="I19" i="78"/>
  <c r="M19" i="78" s="1"/>
  <c r="L17" i="78"/>
  <c r="K17" i="78"/>
  <c r="J17" i="78"/>
  <c r="N17" i="78" s="1"/>
  <c r="I17" i="78"/>
  <c r="M17" i="78" s="1"/>
  <c r="I13" i="78"/>
  <c r="M13" i="78" s="1"/>
  <c r="J13" i="78"/>
  <c r="N13" i="78" s="1"/>
  <c r="K13" i="78"/>
  <c r="L13" i="78"/>
  <c r="L11" i="78"/>
  <c r="K11" i="78"/>
  <c r="J11" i="78"/>
  <c r="N11" i="78" s="1"/>
  <c r="I11" i="78"/>
  <c r="M11" i="78" s="1"/>
  <c r="L51" i="93"/>
  <c r="K51" i="93"/>
  <c r="J51" i="93"/>
  <c r="N51" i="93" s="1"/>
  <c r="I51" i="93"/>
  <c r="M51" i="93" s="1"/>
  <c r="A48" i="93"/>
  <c r="A49" i="93"/>
  <c r="A52" i="93"/>
  <c r="A53" i="93"/>
  <c r="A54" i="93"/>
  <c r="A56" i="93"/>
  <c r="A28" i="93"/>
  <c r="A29" i="93"/>
  <c r="A38" i="93"/>
  <c r="A39" i="93"/>
  <c r="A44" i="93"/>
  <c r="A45" i="93"/>
  <c r="L47" i="93"/>
  <c r="K47" i="93"/>
  <c r="J47" i="93"/>
  <c r="N47" i="93" s="1"/>
  <c r="I47" i="93"/>
  <c r="M47" i="93" s="1"/>
  <c r="L43" i="93"/>
  <c r="K43" i="93"/>
  <c r="J43" i="93"/>
  <c r="N43" i="93" s="1"/>
  <c r="I43" i="93"/>
  <c r="M43" i="93" s="1"/>
  <c r="L41" i="93"/>
  <c r="K41" i="93"/>
  <c r="J41" i="93"/>
  <c r="N41" i="93" s="1"/>
  <c r="I41" i="93"/>
  <c r="M41" i="93" s="1"/>
  <c r="L37" i="93"/>
  <c r="K37" i="93"/>
  <c r="J37" i="93"/>
  <c r="N37" i="93" s="1"/>
  <c r="I37" i="93"/>
  <c r="M37" i="93" s="1"/>
  <c r="L35" i="93"/>
  <c r="K35" i="93"/>
  <c r="J35" i="93"/>
  <c r="N35" i="93" s="1"/>
  <c r="I35" i="93"/>
  <c r="M35" i="93" s="1"/>
  <c r="L33" i="93"/>
  <c r="K33" i="93"/>
  <c r="J33" i="93"/>
  <c r="N33" i="93" s="1"/>
  <c r="I33" i="93"/>
  <c r="M33" i="93" s="1"/>
  <c r="L31" i="93"/>
  <c r="K31" i="93"/>
  <c r="J31" i="93"/>
  <c r="N31" i="93" s="1"/>
  <c r="I31" i="93"/>
  <c r="M31" i="93" s="1"/>
  <c r="I15" i="93"/>
  <c r="M15" i="93" s="1"/>
  <c r="J15" i="93"/>
  <c r="N15" i="93" s="1"/>
  <c r="K15" i="93"/>
  <c r="L15" i="93"/>
  <c r="I17" i="93"/>
  <c r="M17" i="93" s="1"/>
  <c r="J17" i="93"/>
  <c r="K17" i="93"/>
  <c r="L17" i="93"/>
  <c r="N17" i="93"/>
  <c r="I19" i="93"/>
  <c r="M19" i="93" s="1"/>
  <c r="J19" i="93"/>
  <c r="N19" i="93" s="1"/>
  <c r="K19" i="93"/>
  <c r="L19" i="93"/>
  <c r="I21" i="93"/>
  <c r="M21" i="93" s="1"/>
  <c r="J21" i="93"/>
  <c r="N21" i="93" s="1"/>
  <c r="K21" i="93"/>
  <c r="L21" i="93"/>
  <c r="I23" i="93"/>
  <c r="J23" i="93"/>
  <c r="N23" i="93" s="1"/>
  <c r="K23" i="93"/>
  <c r="L23" i="93"/>
  <c r="M23" i="93"/>
  <c r="I25" i="93"/>
  <c r="M25" i="93" s="1"/>
  <c r="J25" i="93"/>
  <c r="K25" i="93"/>
  <c r="L25" i="93"/>
  <c r="N25" i="93"/>
  <c r="I27" i="93"/>
  <c r="M27" i="93" s="1"/>
  <c r="J27" i="93"/>
  <c r="N27" i="93" s="1"/>
  <c r="K27" i="93"/>
  <c r="L27" i="93"/>
  <c r="L13" i="93"/>
  <c r="K13" i="93"/>
  <c r="J13" i="93"/>
  <c r="N13" i="93" s="1"/>
  <c r="I13" i="93"/>
  <c r="M13" i="93" s="1"/>
  <c r="L55" i="82"/>
  <c r="K55" i="82"/>
  <c r="J55" i="82"/>
  <c r="N55" i="82" s="1"/>
  <c r="I55" i="82"/>
  <c r="M55" i="82" s="1"/>
  <c r="I39" i="82"/>
  <c r="M39" i="82" s="1"/>
  <c r="J39" i="82"/>
  <c r="N39" i="82" s="1"/>
  <c r="K39" i="82"/>
  <c r="L39" i="82"/>
  <c r="I41" i="82"/>
  <c r="M41" i="82" s="1"/>
  <c r="J41" i="82"/>
  <c r="N41" i="82" s="1"/>
  <c r="K41" i="82"/>
  <c r="L41" i="82"/>
  <c r="I43" i="82"/>
  <c r="M43" i="82" s="1"/>
  <c r="J43" i="82"/>
  <c r="N43" i="82" s="1"/>
  <c r="K43" i="82"/>
  <c r="L43" i="82"/>
  <c r="I45" i="82"/>
  <c r="M45" i="82" s="1"/>
  <c r="J45" i="82"/>
  <c r="K45" i="82"/>
  <c r="L45" i="82"/>
  <c r="N45" i="82"/>
  <c r="I47" i="82"/>
  <c r="M47" i="82" s="1"/>
  <c r="J47" i="82"/>
  <c r="K47" i="82"/>
  <c r="L47" i="82"/>
  <c r="N47" i="82"/>
  <c r="I49" i="82"/>
  <c r="M49" i="82" s="1"/>
  <c r="J49" i="82"/>
  <c r="N49" i="82" s="1"/>
  <c r="K49" i="82"/>
  <c r="L49" i="82"/>
  <c r="I51" i="82"/>
  <c r="M51" i="82" s="1"/>
  <c r="J51" i="82"/>
  <c r="N51" i="82" s="1"/>
  <c r="K51" i="82"/>
  <c r="L51" i="82"/>
  <c r="I53" i="82"/>
  <c r="M53" i="82" s="1"/>
  <c r="J53" i="82"/>
  <c r="N53" i="82" s="1"/>
  <c r="K53" i="82"/>
  <c r="L53" i="82"/>
  <c r="L25" i="82"/>
  <c r="K25" i="82"/>
  <c r="J25" i="82"/>
  <c r="N25" i="82" s="1"/>
  <c r="I25" i="82"/>
  <c r="M25" i="82" s="1"/>
  <c r="L37" i="82"/>
  <c r="K37" i="82"/>
  <c r="J37" i="82"/>
  <c r="N37" i="82" s="1"/>
  <c r="I37" i="82"/>
  <c r="M37" i="82" s="1"/>
  <c r="L31" i="82"/>
  <c r="K31" i="82"/>
  <c r="J31" i="82"/>
  <c r="N31" i="82" s="1"/>
  <c r="I31" i="82"/>
  <c r="M31" i="82" s="1"/>
  <c r="L29" i="82"/>
  <c r="K29" i="82"/>
  <c r="J29" i="82"/>
  <c r="N29" i="82" s="1"/>
  <c r="I29" i="82"/>
  <c r="M29" i="82" s="1"/>
  <c r="L27" i="82"/>
  <c r="K27" i="82"/>
  <c r="J27" i="82"/>
  <c r="N27" i="82" s="1"/>
  <c r="I27" i="82"/>
  <c r="M27" i="82" s="1"/>
  <c r="I14" i="82"/>
  <c r="M14" i="82" s="1"/>
  <c r="J14" i="82"/>
  <c r="N14" i="82" s="1"/>
  <c r="K14" i="82"/>
  <c r="L14" i="82"/>
  <c r="I16" i="82"/>
  <c r="J16" i="82"/>
  <c r="K16" i="82"/>
  <c r="L16" i="82"/>
  <c r="M16" i="82"/>
  <c r="N16" i="82"/>
  <c r="I18" i="82"/>
  <c r="M18" i="82" s="1"/>
  <c r="J18" i="82"/>
  <c r="N18" i="82" s="1"/>
  <c r="K18" i="82"/>
  <c r="L18" i="82"/>
  <c r="I20" i="82"/>
  <c r="M20" i="82" s="1"/>
  <c r="J20" i="82"/>
  <c r="N20" i="82" s="1"/>
  <c r="K20" i="82"/>
  <c r="L20" i="82"/>
  <c r="I22" i="82"/>
  <c r="M22" i="82" s="1"/>
  <c r="J22" i="82"/>
  <c r="N22" i="82" s="1"/>
  <c r="K22" i="82"/>
  <c r="L22" i="82"/>
  <c r="L12" i="82"/>
  <c r="K12" i="82"/>
  <c r="J12" i="82"/>
  <c r="N12" i="82" s="1"/>
  <c r="I12" i="82"/>
  <c r="M12" i="82" s="1"/>
  <c r="F13" i="92"/>
  <c r="I13" i="92"/>
  <c r="M13" i="92" s="1"/>
  <c r="J13" i="92"/>
  <c r="N13" i="92" s="1"/>
  <c r="K13" i="92"/>
  <c r="L13" i="92"/>
  <c r="F15" i="92"/>
  <c r="I15" i="92"/>
  <c r="M15" i="92" s="1"/>
  <c r="J15" i="92"/>
  <c r="K15" i="92"/>
  <c r="L15" i="92"/>
  <c r="N15" i="92"/>
  <c r="F17" i="92"/>
  <c r="I17" i="92"/>
  <c r="M17" i="92" s="1"/>
  <c r="J17" i="92"/>
  <c r="N17" i="92" s="1"/>
  <c r="K17" i="92"/>
  <c r="L17" i="92"/>
  <c r="I19" i="92"/>
  <c r="M19" i="92" s="1"/>
  <c r="J19" i="92"/>
  <c r="N19" i="92" s="1"/>
  <c r="K19" i="92"/>
  <c r="L19" i="92"/>
  <c r="L13" i="91"/>
  <c r="K13" i="91"/>
  <c r="J13" i="91"/>
  <c r="N13" i="91" s="1"/>
  <c r="I13" i="91"/>
  <c r="M13" i="91" s="1"/>
  <c r="J11" i="91"/>
  <c r="I11" i="91"/>
  <c r="C11" i="91"/>
  <c r="K11" i="91" s="1"/>
  <c r="I61" i="90"/>
  <c r="M61" i="90" s="1"/>
  <c r="J61" i="90"/>
  <c r="N61" i="90" s="1"/>
  <c r="K61" i="90"/>
  <c r="L61" i="90"/>
  <c r="A96" i="90"/>
  <c r="A97" i="90"/>
  <c r="A104" i="90"/>
  <c r="A105" i="90"/>
  <c r="L109" i="90"/>
  <c r="K109" i="90"/>
  <c r="J109" i="90"/>
  <c r="N109" i="90" s="1"/>
  <c r="I109" i="90"/>
  <c r="M109" i="90" s="1"/>
  <c r="F109" i="90"/>
  <c r="L107" i="90"/>
  <c r="K107" i="90"/>
  <c r="J107" i="90"/>
  <c r="N107" i="90" s="1"/>
  <c r="I107" i="90"/>
  <c r="M107" i="90" s="1"/>
  <c r="F107" i="90"/>
  <c r="L103" i="90"/>
  <c r="K103" i="90"/>
  <c r="J103" i="90"/>
  <c r="N103" i="90" s="1"/>
  <c r="I103" i="90"/>
  <c r="M103" i="90" s="1"/>
  <c r="F103" i="90"/>
  <c r="L101" i="90"/>
  <c r="K101" i="90"/>
  <c r="J101" i="90"/>
  <c r="N101" i="90" s="1"/>
  <c r="I101" i="90"/>
  <c r="M101" i="90" s="1"/>
  <c r="F101" i="90"/>
  <c r="L99" i="90"/>
  <c r="K99" i="90"/>
  <c r="J99" i="90"/>
  <c r="N99" i="90" s="1"/>
  <c r="I99" i="90"/>
  <c r="M99" i="90" s="1"/>
  <c r="F99" i="90"/>
  <c r="F63" i="90"/>
  <c r="I63" i="90"/>
  <c r="M63" i="90" s="1"/>
  <c r="J63" i="90"/>
  <c r="N63" i="90" s="1"/>
  <c r="K63" i="90"/>
  <c r="L63" i="90"/>
  <c r="I65" i="90"/>
  <c r="J65" i="90"/>
  <c r="N65" i="90" s="1"/>
  <c r="K65" i="90"/>
  <c r="L65" i="90"/>
  <c r="M65" i="90"/>
  <c r="F67" i="90"/>
  <c r="I67" i="90"/>
  <c r="M67" i="90" s="1"/>
  <c r="J67" i="90"/>
  <c r="N67" i="90" s="1"/>
  <c r="K67" i="90"/>
  <c r="L67" i="90"/>
  <c r="F69" i="90"/>
  <c r="I69" i="90"/>
  <c r="M69" i="90" s="1"/>
  <c r="J69" i="90"/>
  <c r="N69" i="90" s="1"/>
  <c r="K69" i="90"/>
  <c r="L69" i="90"/>
  <c r="I71" i="90"/>
  <c r="M71" i="90" s="1"/>
  <c r="J71" i="90"/>
  <c r="N71" i="90" s="1"/>
  <c r="K71" i="90"/>
  <c r="L71" i="90"/>
  <c r="F73" i="90"/>
  <c r="I73" i="90"/>
  <c r="M73" i="90" s="1"/>
  <c r="J73" i="90"/>
  <c r="N73" i="90" s="1"/>
  <c r="K73" i="90"/>
  <c r="L73" i="90"/>
  <c r="I75" i="90"/>
  <c r="M75" i="90" s="1"/>
  <c r="J75" i="90"/>
  <c r="N75" i="90" s="1"/>
  <c r="K75" i="90"/>
  <c r="L75" i="90"/>
  <c r="I77" i="90"/>
  <c r="J77" i="90"/>
  <c r="N77" i="90" s="1"/>
  <c r="K77" i="90"/>
  <c r="L77" i="90"/>
  <c r="M77" i="90"/>
  <c r="F79" i="90"/>
  <c r="I79" i="90"/>
  <c r="M79" i="90" s="1"/>
  <c r="J79" i="90"/>
  <c r="N79" i="90" s="1"/>
  <c r="K79" i="90"/>
  <c r="L79" i="90"/>
  <c r="I81" i="90"/>
  <c r="M81" i="90" s="1"/>
  <c r="J81" i="90"/>
  <c r="N81" i="90" s="1"/>
  <c r="K81" i="90"/>
  <c r="L81" i="90"/>
  <c r="I83" i="90"/>
  <c r="M83" i="90" s="1"/>
  <c r="J83" i="90"/>
  <c r="N83" i="90" s="1"/>
  <c r="K83" i="90"/>
  <c r="L83" i="90"/>
  <c r="F85" i="90"/>
  <c r="I85" i="90"/>
  <c r="M85" i="90" s="1"/>
  <c r="J85" i="90"/>
  <c r="N85" i="90" s="1"/>
  <c r="K85" i="90"/>
  <c r="L85" i="90"/>
  <c r="I87" i="90"/>
  <c r="M87" i="90" s="1"/>
  <c r="J87" i="90"/>
  <c r="N87" i="90" s="1"/>
  <c r="K87" i="90"/>
  <c r="L87" i="90"/>
  <c r="F89" i="90"/>
  <c r="I89" i="90"/>
  <c r="M89" i="90" s="1"/>
  <c r="J89" i="90"/>
  <c r="N89" i="90" s="1"/>
  <c r="K89" i="90"/>
  <c r="L89" i="90"/>
  <c r="I91" i="90"/>
  <c r="M91" i="90" s="1"/>
  <c r="J91" i="90"/>
  <c r="N91" i="90" s="1"/>
  <c r="K91" i="90"/>
  <c r="L91" i="90"/>
  <c r="F93" i="90"/>
  <c r="I93" i="90"/>
  <c r="M93" i="90" s="1"/>
  <c r="J93" i="90"/>
  <c r="N93" i="90" s="1"/>
  <c r="K93" i="90"/>
  <c r="L93" i="90"/>
  <c r="F95" i="90"/>
  <c r="I95" i="90"/>
  <c r="M95" i="90" s="1"/>
  <c r="J95" i="90"/>
  <c r="N95" i="90" s="1"/>
  <c r="K95" i="90"/>
  <c r="L95" i="90"/>
  <c r="C41" i="90"/>
  <c r="L41" i="90" s="1"/>
  <c r="A66" i="77"/>
  <c r="A67" i="77"/>
  <c r="A68" i="77"/>
  <c r="A74" i="77"/>
  <c r="A75" i="77"/>
  <c r="A76" i="77"/>
  <c r="A78" i="77"/>
  <c r="A80" i="77"/>
  <c r="A81" i="77"/>
  <c r="A82" i="77"/>
  <c r="A84" i="77"/>
  <c r="A86" i="77"/>
  <c r="A88" i="77"/>
  <c r="A89" i="77"/>
  <c r="A90" i="77"/>
  <c r="A92" i="77"/>
  <c r="A93" i="77"/>
  <c r="A94" i="77"/>
  <c r="L73" i="77"/>
  <c r="K73" i="77"/>
  <c r="J73" i="77"/>
  <c r="N73" i="77" s="1"/>
  <c r="I73" i="77"/>
  <c r="M73" i="77" s="1"/>
  <c r="F73" i="77"/>
  <c r="L71" i="77"/>
  <c r="K71" i="77"/>
  <c r="J71" i="77"/>
  <c r="N71" i="77" s="1"/>
  <c r="I71" i="77"/>
  <c r="M71" i="77" s="1"/>
  <c r="F71" i="77"/>
  <c r="L69" i="77"/>
  <c r="K69" i="77"/>
  <c r="J69" i="77"/>
  <c r="N69" i="77" s="1"/>
  <c r="I69" i="77"/>
  <c r="M69" i="77" s="1"/>
  <c r="F69" i="77"/>
  <c r="L87" i="77"/>
  <c r="K87" i="77"/>
  <c r="J87" i="77"/>
  <c r="I87" i="77"/>
  <c r="M87" i="77" s="1"/>
  <c r="L85" i="77"/>
  <c r="K85" i="77"/>
  <c r="J85" i="77"/>
  <c r="N85" i="77" s="1"/>
  <c r="I85" i="77"/>
  <c r="M85" i="77" s="1"/>
  <c r="L83" i="77"/>
  <c r="K83" i="77"/>
  <c r="J83" i="77"/>
  <c r="N83" i="77" s="1"/>
  <c r="I83" i="77"/>
  <c r="M83" i="77" s="1"/>
  <c r="I79" i="77"/>
  <c r="M79" i="77" s="1"/>
  <c r="J79" i="77"/>
  <c r="N79" i="77" s="1"/>
  <c r="K79" i="77"/>
  <c r="L79" i="77"/>
  <c r="F16" i="101"/>
  <c r="A44" i="77"/>
  <c r="A45" i="77"/>
  <c r="A54" i="77"/>
  <c r="A55" i="77"/>
  <c r="A57" i="77"/>
  <c r="A62" i="77"/>
  <c r="A63" i="77"/>
  <c r="A20" i="77"/>
  <c r="A21" i="77"/>
  <c r="A32" i="77"/>
  <c r="A33" i="77"/>
  <c r="L65" i="77"/>
  <c r="K65" i="77"/>
  <c r="J65" i="77"/>
  <c r="N65" i="77" s="1"/>
  <c r="I65" i="77"/>
  <c r="M65" i="77" s="1"/>
  <c r="F65" i="77"/>
  <c r="L61" i="77"/>
  <c r="K61" i="77"/>
  <c r="J61" i="77"/>
  <c r="N61" i="77" s="1"/>
  <c r="I61" i="77"/>
  <c r="M61" i="77" s="1"/>
  <c r="F61" i="77"/>
  <c r="L59" i="77"/>
  <c r="K59" i="77"/>
  <c r="J59" i="77"/>
  <c r="N59" i="77" s="1"/>
  <c r="I59" i="77"/>
  <c r="M59" i="77" s="1"/>
  <c r="F59" i="77"/>
  <c r="L53" i="77"/>
  <c r="K53" i="77"/>
  <c r="J53" i="77"/>
  <c r="N53" i="77" s="1"/>
  <c r="I53" i="77"/>
  <c r="M53" i="77" s="1"/>
  <c r="F53" i="77"/>
  <c r="L51" i="77"/>
  <c r="K51" i="77"/>
  <c r="J51" i="77"/>
  <c r="N51" i="77" s="1"/>
  <c r="I51" i="77"/>
  <c r="M51" i="77" s="1"/>
  <c r="F51" i="77"/>
  <c r="L49" i="77"/>
  <c r="K49" i="77"/>
  <c r="J49" i="77"/>
  <c r="N49" i="77" s="1"/>
  <c r="I49" i="77"/>
  <c r="M49" i="77" s="1"/>
  <c r="F49" i="77"/>
  <c r="L47" i="77"/>
  <c r="K47" i="77"/>
  <c r="J47" i="77"/>
  <c r="N47" i="77" s="1"/>
  <c r="I47" i="77"/>
  <c r="M47" i="77" s="1"/>
  <c r="F47" i="77"/>
  <c r="L43" i="77"/>
  <c r="K43" i="77"/>
  <c r="J43" i="77"/>
  <c r="I43" i="77"/>
  <c r="L41" i="77"/>
  <c r="K41" i="77"/>
  <c r="J41" i="77"/>
  <c r="N41" i="77" s="1"/>
  <c r="I41" i="77"/>
  <c r="M41" i="77" s="1"/>
  <c r="F41" i="77"/>
  <c r="L39" i="77"/>
  <c r="K39" i="77"/>
  <c r="J39" i="77"/>
  <c r="N39" i="77" s="1"/>
  <c r="I39" i="77"/>
  <c r="M39" i="77" s="1"/>
  <c r="F39" i="77"/>
  <c r="L37" i="77"/>
  <c r="K37" i="77"/>
  <c r="J37" i="77"/>
  <c r="N37" i="77" s="1"/>
  <c r="I37" i="77"/>
  <c r="M37" i="77" s="1"/>
  <c r="F37" i="77"/>
  <c r="L35" i="77"/>
  <c r="K35" i="77"/>
  <c r="J35" i="77"/>
  <c r="N35" i="77" s="1"/>
  <c r="I35" i="77"/>
  <c r="M35" i="77" s="1"/>
  <c r="F35" i="77"/>
  <c r="L31" i="77"/>
  <c r="K31" i="77"/>
  <c r="J31" i="77"/>
  <c r="N31" i="77" s="1"/>
  <c r="I31" i="77"/>
  <c r="M31" i="77" s="1"/>
  <c r="L29" i="77"/>
  <c r="K29" i="77"/>
  <c r="J29" i="77"/>
  <c r="N29" i="77" s="1"/>
  <c r="I29" i="77"/>
  <c r="M29" i="77" s="1"/>
  <c r="L27" i="77"/>
  <c r="K27" i="77"/>
  <c r="J27" i="77"/>
  <c r="N27" i="77" s="1"/>
  <c r="I27" i="77"/>
  <c r="M27" i="77" s="1"/>
  <c r="F27" i="77"/>
  <c r="L25" i="77"/>
  <c r="K25" i="77"/>
  <c r="J25" i="77"/>
  <c r="N25" i="77" s="1"/>
  <c r="I25" i="77"/>
  <c r="M25" i="77" s="1"/>
  <c r="F25" i="77"/>
  <c r="L23" i="77"/>
  <c r="K23" i="77"/>
  <c r="J23" i="77"/>
  <c r="N23" i="77" s="1"/>
  <c r="I23" i="77"/>
  <c r="M23" i="77" s="1"/>
  <c r="F23" i="77"/>
  <c r="F15" i="77"/>
  <c r="I15" i="77"/>
  <c r="M15" i="77" s="1"/>
  <c r="J15" i="77"/>
  <c r="N15" i="77" s="1"/>
  <c r="K15" i="77"/>
  <c r="L15" i="77"/>
  <c r="F17" i="77"/>
  <c r="A17" i="77" s="1"/>
  <c r="I17" i="77"/>
  <c r="M17" i="77" s="1"/>
  <c r="J17" i="77"/>
  <c r="N17" i="77" s="1"/>
  <c r="K17" i="77"/>
  <c r="L17" i="77"/>
  <c r="F19" i="77"/>
  <c r="I19" i="77"/>
  <c r="M19" i="77" s="1"/>
  <c r="J19" i="77"/>
  <c r="N19" i="77" s="1"/>
  <c r="K19" i="77"/>
  <c r="L19" i="77"/>
  <c r="L13" i="77"/>
  <c r="K13" i="77"/>
  <c r="J13" i="77"/>
  <c r="N13" i="77" s="1"/>
  <c r="I13" i="77"/>
  <c r="M13" i="77" s="1"/>
  <c r="F13" i="77"/>
  <c r="N25" i="110"/>
  <c r="M25" i="110"/>
  <c r="L25" i="110"/>
  <c r="P25" i="110" s="1"/>
  <c r="K25" i="110"/>
  <c r="O25" i="110" s="1"/>
  <c r="H25" i="110"/>
  <c r="N23" i="110"/>
  <c r="M23" i="110"/>
  <c r="L23" i="110"/>
  <c r="P23" i="110" s="1"/>
  <c r="K23" i="110"/>
  <c r="O23" i="110" s="1"/>
  <c r="N21" i="110"/>
  <c r="M21" i="110"/>
  <c r="L21" i="110"/>
  <c r="P21" i="110" s="1"/>
  <c r="K21" i="110"/>
  <c r="O21" i="110" s="1"/>
  <c r="N19" i="110"/>
  <c r="M19" i="110"/>
  <c r="L19" i="110"/>
  <c r="P19" i="110" s="1"/>
  <c r="K19" i="110"/>
  <c r="O19" i="110" s="1"/>
  <c r="H19" i="110"/>
  <c r="N17" i="110"/>
  <c r="M17" i="110"/>
  <c r="L17" i="110"/>
  <c r="P17" i="110" s="1"/>
  <c r="K17" i="110"/>
  <c r="O17" i="110" s="1"/>
  <c r="H17" i="110"/>
  <c r="A17" i="110"/>
  <c r="A19" i="110" s="1"/>
  <c r="A18" i="110"/>
  <c r="A20" i="110"/>
  <c r="L50" i="105"/>
  <c r="K50" i="105"/>
  <c r="J50" i="105"/>
  <c r="N50" i="105" s="1"/>
  <c r="I50" i="105"/>
  <c r="M50" i="105" s="1"/>
  <c r="L52" i="105"/>
  <c r="K52" i="105"/>
  <c r="J52" i="105"/>
  <c r="N52" i="105" s="1"/>
  <c r="I52" i="105"/>
  <c r="M52" i="105" s="1"/>
  <c r="L46" i="105"/>
  <c r="K46" i="105"/>
  <c r="J46" i="105"/>
  <c r="N46" i="105" s="1"/>
  <c r="I46" i="105"/>
  <c r="M46" i="105" s="1"/>
  <c r="L44" i="105"/>
  <c r="K44" i="105"/>
  <c r="J44" i="105"/>
  <c r="N44" i="105" s="1"/>
  <c r="I44" i="105"/>
  <c r="M44" i="105" s="1"/>
  <c r="L40" i="105"/>
  <c r="K40" i="105"/>
  <c r="J40" i="105"/>
  <c r="N40" i="105" s="1"/>
  <c r="I40" i="105"/>
  <c r="M40" i="105" s="1"/>
  <c r="L38" i="105"/>
  <c r="K38" i="105"/>
  <c r="J38" i="105"/>
  <c r="N38" i="105" s="1"/>
  <c r="I38" i="105"/>
  <c r="M38" i="105" s="1"/>
  <c r="L10" i="105"/>
  <c r="K10" i="105"/>
  <c r="J10" i="105"/>
  <c r="N10" i="105" s="1"/>
  <c r="I10" i="105"/>
  <c r="M10" i="105" s="1"/>
  <c r="L12" i="105"/>
  <c r="K12" i="105"/>
  <c r="J12" i="105"/>
  <c r="N12" i="105" s="1"/>
  <c r="I12" i="105"/>
  <c r="M12" i="105" s="1"/>
  <c r="L14" i="105"/>
  <c r="K14" i="105"/>
  <c r="J14" i="105"/>
  <c r="N14" i="105" s="1"/>
  <c r="I14" i="105"/>
  <c r="M14" i="105" s="1"/>
  <c r="L16" i="105"/>
  <c r="K16" i="105"/>
  <c r="J16" i="105"/>
  <c r="N16" i="105" s="1"/>
  <c r="I16" i="105"/>
  <c r="M16" i="105" s="1"/>
  <c r="L18" i="105"/>
  <c r="K18" i="105"/>
  <c r="J18" i="105"/>
  <c r="N18" i="105" s="1"/>
  <c r="I18" i="105"/>
  <c r="M18" i="105" s="1"/>
  <c r="L20" i="105"/>
  <c r="K20" i="105"/>
  <c r="J20" i="105"/>
  <c r="N20" i="105" s="1"/>
  <c r="I20" i="105"/>
  <c r="M20" i="105" s="1"/>
  <c r="L24" i="105"/>
  <c r="K24" i="105"/>
  <c r="J24" i="105"/>
  <c r="N24" i="105" s="1"/>
  <c r="I24" i="105"/>
  <c r="M24" i="105" s="1"/>
  <c r="L26" i="105"/>
  <c r="K26" i="105"/>
  <c r="J26" i="105"/>
  <c r="N26" i="105" s="1"/>
  <c r="I26" i="105"/>
  <c r="M26" i="105" s="1"/>
  <c r="L28" i="105"/>
  <c r="K28" i="105"/>
  <c r="J28" i="105"/>
  <c r="N28" i="105" s="1"/>
  <c r="I28" i="105"/>
  <c r="M28" i="105" s="1"/>
  <c r="L30" i="105"/>
  <c r="K30" i="105"/>
  <c r="J30" i="105"/>
  <c r="N30" i="105" s="1"/>
  <c r="I30" i="105"/>
  <c r="M30" i="105" s="1"/>
  <c r="L32" i="105"/>
  <c r="K32" i="105"/>
  <c r="J32" i="105"/>
  <c r="N32" i="105" s="1"/>
  <c r="I32" i="105"/>
  <c r="M32" i="105" s="1"/>
  <c r="A23" i="105"/>
  <c r="L20" i="107"/>
  <c r="K20" i="107"/>
  <c r="J20" i="107"/>
  <c r="N20" i="107" s="1"/>
  <c r="I20" i="107"/>
  <c r="M20" i="107" s="1"/>
  <c r="F20" i="107"/>
  <c r="L17" i="107"/>
  <c r="K17" i="107"/>
  <c r="J17" i="107"/>
  <c r="N17" i="107" s="1"/>
  <c r="I17" i="107"/>
  <c r="M17" i="107" s="1"/>
  <c r="L15" i="107"/>
  <c r="K15" i="107"/>
  <c r="J15" i="107"/>
  <c r="N15" i="107" s="1"/>
  <c r="I15" i="107"/>
  <c r="M15" i="107" s="1"/>
  <c r="L13" i="107"/>
  <c r="K13" i="107"/>
  <c r="J13" i="107"/>
  <c r="N13" i="107" s="1"/>
  <c r="I13" i="107"/>
  <c r="M13" i="107" s="1"/>
  <c r="F13" i="107"/>
  <c r="C10" i="100"/>
  <c r="F10" i="100" s="1"/>
  <c r="I10" i="100"/>
  <c r="J10" i="100"/>
  <c r="A53" i="101"/>
  <c r="A54" i="101"/>
  <c r="A58" i="101"/>
  <c r="A59" i="101"/>
  <c r="A61" i="101"/>
  <c r="A62" i="101"/>
  <c r="A39" i="101"/>
  <c r="A40" i="101"/>
  <c r="A42" i="101"/>
  <c r="A43" i="101"/>
  <c r="A45" i="101"/>
  <c r="A46" i="101"/>
  <c r="A50" i="101"/>
  <c r="A51" i="101"/>
  <c r="A18" i="101"/>
  <c r="A24" i="101"/>
  <c r="A23" i="101"/>
  <c r="A10" i="101"/>
  <c r="L63" i="101"/>
  <c r="K63" i="101"/>
  <c r="J63" i="101"/>
  <c r="N63" i="101" s="1"/>
  <c r="I63" i="101"/>
  <c r="M63" i="101" s="1"/>
  <c r="F63" i="101"/>
  <c r="L60" i="101"/>
  <c r="K60" i="101"/>
  <c r="J60" i="101"/>
  <c r="N60" i="101" s="1"/>
  <c r="I60" i="101"/>
  <c r="M60" i="101" s="1"/>
  <c r="F60" i="101"/>
  <c r="L57" i="101"/>
  <c r="K57" i="101"/>
  <c r="J57" i="101"/>
  <c r="N57" i="101" s="1"/>
  <c r="I57" i="101"/>
  <c r="M57" i="101" s="1"/>
  <c r="F57" i="101"/>
  <c r="L55" i="101"/>
  <c r="K55" i="101"/>
  <c r="J55" i="101"/>
  <c r="N55" i="101" s="1"/>
  <c r="I55" i="101"/>
  <c r="M55" i="101" s="1"/>
  <c r="F55" i="101"/>
  <c r="L52" i="101"/>
  <c r="K52" i="101"/>
  <c r="J52" i="101"/>
  <c r="N52" i="101" s="1"/>
  <c r="I52" i="101"/>
  <c r="M52" i="101" s="1"/>
  <c r="F52" i="101"/>
  <c r="L49" i="101"/>
  <c r="K49" i="101"/>
  <c r="J49" i="101"/>
  <c r="N49" i="101" s="1"/>
  <c r="I49" i="101"/>
  <c r="M49" i="101" s="1"/>
  <c r="L47" i="101"/>
  <c r="K47" i="101"/>
  <c r="J47" i="101"/>
  <c r="N47" i="101" s="1"/>
  <c r="I47" i="101"/>
  <c r="M47" i="101" s="1"/>
  <c r="F47" i="101"/>
  <c r="L44" i="101"/>
  <c r="K44" i="101"/>
  <c r="J44" i="101"/>
  <c r="N44" i="101" s="1"/>
  <c r="I44" i="101"/>
  <c r="M44" i="101" s="1"/>
  <c r="F44" i="101"/>
  <c r="L41" i="101"/>
  <c r="K41" i="101"/>
  <c r="J41" i="101"/>
  <c r="N41" i="101" s="1"/>
  <c r="I41" i="101"/>
  <c r="M41" i="101" s="1"/>
  <c r="F41" i="101"/>
  <c r="L38" i="101"/>
  <c r="K38" i="101"/>
  <c r="J38" i="101"/>
  <c r="N38" i="101" s="1"/>
  <c r="I38" i="101"/>
  <c r="M38" i="101" s="1"/>
  <c r="L36" i="101"/>
  <c r="K36" i="101"/>
  <c r="J36" i="101"/>
  <c r="N36" i="101" s="1"/>
  <c r="I36" i="101"/>
  <c r="M36" i="101" s="1"/>
  <c r="F36" i="101"/>
  <c r="L34" i="101"/>
  <c r="K34" i="101"/>
  <c r="J34" i="101"/>
  <c r="N34" i="101" s="1"/>
  <c r="I34" i="101"/>
  <c r="M34" i="101" s="1"/>
  <c r="L32" i="101"/>
  <c r="K32" i="101"/>
  <c r="J32" i="101"/>
  <c r="N32" i="101" s="1"/>
  <c r="I32" i="101"/>
  <c r="M32" i="101" s="1"/>
  <c r="L30" i="101"/>
  <c r="K30" i="101"/>
  <c r="J30" i="101"/>
  <c r="N30" i="101" s="1"/>
  <c r="I30" i="101"/>
  <c r="M30" i="101" s="1"/>
  <c r="F30" i="101"/>
  <c r="L28" i="101"/>
  <c r="K28" i="101"/>
  <c r="J28" i="101"/>
  <c r="N28" i="101" s="1"/>
  <c r="I28" i="101"/>
  <c r="M28" i="101" s="1"/>
  <c r="F28" i="101"/>
  <c r="L26" i="101"/>
  <c r="K26" i="101"/>
  <c r="J26" i="101"/>
  <c r="N26" i="101" s="1"/>
  <c r="I26" i="101"/>
  <c r="M26" i="101" s="1"/>
  <c r="F26" i="101"/>
  <c r="L22" i="101"/>
  <c r="K22" i="101"/>
  <c r="J22" i="101"/>
  <c r="N22" i="101" s="1"/>
  <c r="I22" i="101"/>
  <c r="M22" i="101" s="1"/>
  <c r="F22" i="101"/>
  <c r="L20" i="101"/>
  <c r="K20" i="101"/>
  <c r="J20" i="101"/>
  <c r="N20" i="101" s="1"/>
  <c r="I20" i="101"/>
  <c r="M20" i="101" s="1"/>
  <c r="F20" i="101"/>
  <c r="F14" i="101"/>
  <c r="I14" i="101"/>
  <c r="M14" i="101" s="1"/>
  <c r="J14" i="101"/>
  <c r="N14" i="101" s="1"/>
  <c r="K14" i="101"/>
  <c r="L14" i="101"/>
  <c r="I16" i="101"/>
  <c r="M16" i="101" s="1"/>
  <c r="J16" i="101"/>
  <c r="K16" i="101"/>
  <c r="L126" i="100"/>
  <c r="K126" i="100"/>
  <c r="J126" i="100"/>
  <c r="N126" i="100" s="1"/>
  <c r="I126" i="100"/>
  <c r="M126" i="100" s="1"/>
  <c r="F126" i="100"/>
  <c r="L123" i="100"/>
  <c r="K123" i="100"/>
  <c r="J123" i="100"/>
  <c r="N123" i="100" s="1"/>
  <c r="I123" i="100"/>
  <c r="M123" i="100" s="1"/>
  <c r="F123" i="100"/>
  <c r="L121" i="100"/>
  <c r="K121" i="100"/>
  <c r="J121" i="100"/>
  <c r="N121" i="100" s="1"/>
  <c r="I121" i="100"/>
  <c r="M121" i="100" s="1"/>
  <c r="F121" i="100"/>
  <c r="L118" i="100"/>
  <c r="K118" i="100"/>
  <c r="J118" i="100"/>
  <c r="N118" i="100" s="1"/>
  <c r="I118" i="100"/>
  <c r="M118" i="100" s="1"/>
  <c r="F118" i="100"/>
  <c r="J116" i="100"/>
  <c r="I116" i="100"/>
  <c r="J114" i="100"/>
  <c r="I114" i="100"/>
  <c r="L112" i="100"/>
  <c r="K112" i="100"/>
  <c r="J112" i="100"/>
  <c r="N112" i="100" s="1"/>
  <c r="I112" i="100"/>
  <c r="M112" i="100" s="1"/>
  <c r="F112" i="100"/>
  <c r="J110" i="100"/>
  <c r="I110" i="100"/>
  <c r="J108" i="100"/>
  <c r="I108" i="100"/>
  <c r="A13" i="100"/>
  <c r="A14" i="100"/>
  <c r="A16" i="100"/>
  <c r="A18" i="100"/>
  <c r="A19" i="100"/>
  <c r="C114" i="100"/>
  <c r="L114" i="100" s="1"/>
  <c r="A43" i="100"/>
  <c r="A44" i="100"/>
  <c r="A45" i="100"/>
  <c r="A53" i="100"/>
  <c r="A54" i="100"/>
  <c r="A63" i="100"/>
  <c r="A69" i="100"/>
  <c r="A70" i="100"/>
  <c r="A74" i="100"/>
  <c r="A75" i="100"/>
  <c r="A79" i="100"/>
  <c r="A80" i="100"/>
  <c r="A81" i="100"/>
  <c r="A92" i="100"/>
  <c r="A93" i="100"/>
  <c r="A102" i="100"/>
  <c r="A103" i="100"/>
  <c r="A31" i="100"/>
  <c r="A37" i="100"/>
  <c r="A25" i="100"/>
  <c r="L104" i="100"/>
  <c r="K104" i="100"/>
  <c r="J104" i="100"/>
  <c r="N104" i="100" s="1"/>
  <c r="I104" i="100"/>
  <c r="M104" i="100" s="1"/>
  <c r="F104" i="100"/>
  <c r="L101" i="100"/>
  <c r="K101" i="100"/>
  <c r="J101" i="100"/>
  <c r="N101" i="100" s="1"/>
  <c r="I101" i="100"/>
  <c r="M101" i="100" s="1"/>
  <c r="L99" i="100"/>
  <c r="K99" i="100"/>
  <c r="J99" i="100"/>
  <c r="N99" i="100" s="1"/>
  <c r="I99" i="100"/>
  <c r="M99" i="100" s="1"/>
  <c r="F99" i="100"/>
  <c r="L97" i="100"/>
  <c r="K97" i="100"/>
  <c r="J97" i="100"/>
  <c r="N97" i="100" s="1"/>
  <c r="I97" i="100"/>
  <c r="M97" i="100" s="1"/>
  <c r="F97" i="100"/>
  <c r="L95" i="100"/>
  <c r="K95" i="100"/>
  <c r="J95" i="100"/>
  <c r="N95" i="100" s="1"/>
  <c r="I95" i="100"/>
  <c r="M95" i="100" s="1"/>
  <c r="F95" i="100"/>
  <c r="L91" i="100"/>
  <c r="K91" i="100"/>
  <c r="J91" i="100"/>
  <c r="N91" i="100" s="1"/>
  <c r="I91" i="100"/>
  <c r="M91" i="100" s="1"/>
  <c r="L89" i="100"/>
  <c r="K89" i="100"/>
  <c r="J89" i="100"/>
  <c r="N89" i="100" s="1"/>
  <c r="I89" i="100"/>
  <c r="M89" i="100" s="1"/>
  <c r="F89" i="100"/>
  <c r="L87" i="100"/>
  <c r="K87" i="100"/>
  <c r="J87" i="100"/>
  <c r="N87" i="100" s="1"/>
  <c r="I87" i="100"/>
  <c r="M87" i="100" s="1"/>
  <c r="F87" i="100"/>
  <c r="L85" i="100"/>
  <c r="K85" i="100"/>
  <c r="J85" i="100"/>
  <c r="N85" i="100" s="1"/>
  <c r="I85" i="100"/>
  <c r="M85" i="100" s="1"/>
  <c r="F85" i="100"/>
  <c r="L83" i="100"/>
  <c r="K83" i="100"/>
  <c r="J83" i="100"/>
  <c r="N83" i="100" s="1"/>
  <c r="I83" i="100"/>
  <c r="M83" i="100" s="1"/>
  <c r="F83" i="100"/>
  <c r="J78" i="100"/>
  <c r="I78" i="100"/>
  <c r="L76" i="100"/>
  <c r="K76" i="100"/>
  <c r="J76" i="100"/>
  <c r="N76" i="100" s="1"/>
  <c r="I76" i="100"/>
  <c r="M76" i="100" s="1"/>
  <c r="F76" i="100"/>
  <c r="L71" i="100"/>
  <c r="K71" i="100"/>
  <c r="J71" i="100"/>
  <c r="N71" i="100" s="1"/>
  <c r="I71" i="100"/>
  <c r="M71" i="100" s="1"/>
  <c r="F71" i="100"/>
  <c r="J73" i="100"/>
  <c r="I73" i="100"/>
  <c r="J68" i="100"/>
  <c r="I68" i="100"/>
  <c r="J66" i="100"/>
  <c r="I66" i="100"/>
  <c r="L64" i="100"/>
  <c r="K64" i="100"/>
  <c r="J64" i="100"/>
  <c r="N64" i="100" s="1"/>
  <c r="I64" i="100"/>
  <c r="M64" i="100" s="1"/>
  <c r="F64" i="100"/>
  <c r="J61" i="100"/>
  <c r="I61" i="100"/>
  <c r="J59" i="100"/>
  <c r="I59" i="100"/>
  <c r="J57" i="100"/>
  <c r="I57" i="100"/>
  <c r="L55" i="100"/>
  <c r="K55" i="100"/>
  <c r="J55" i="100"/>
  <c r="N55" i="100" s="1"/>
  <c r="I55" i="100"/>
  <c r="M55" i="100" s="1"/>
  <c r="F55" i="100"/>
  <c r="J52" i="100"/>
  <c r="I52" i="100"/>
  <c r="J50" i="100"/>
  <c r="I50" i="100"/>
  <c r="J48" i="100"/>
  <c r="I48" i="100"/>
  <c r="L46" i="100"/>
  <c r="K46" i="100"/>
  <c r="J46" i="100"/>
  <c r="N46" i="100" s="1"/>
  <c r="I46" i="100"/>
  <c r="M46" i="100" s="1"/>
  <c r="F46" i="100"/>
  <c r="J42" i="100"/>
  <c r="I42" i="100"/>
  <c r="J40" i="100"/>
  <c r="I40" i="100"/>
  <c r="J38" i="100"/>
  <c r="I38" i="100"/>
  <c r="J36" i="100"/>
  <c r="I36" i="100"/>
  <c r="J34" i="100"/>
  <c r="I34" i="100"/>
  <c r="J32" i="100"/>
  <c r="I32" i="100"/>
  <c r="J30" i="100"/>
  <c r="I30" i="100"/>
  <c r="J28" i="100"/>
  <c r="I28" i="100"/>
  <c r="J26" i="100"/>
  <c r="I26" i="100"/>
  <c r="I22" i="100"/>
  <c r="J22" i="100"/>
  <c r="I24" i="100"/>
  <c r="J24" i="100"/>
  <c r="J20" i="100"/>
  <c r="I20" i="100"/>
  <c r="C78" i="100"/>
  <c r="K78" i="100" s="1"/>
  <c r="C73" i="100"/>
  <c r="L73" i="100" s="1"/>
  <c r="C68" i="100"/>
  <c r="L68" i="100" s="1"/>
  <c r="C66" i="100"/>
  <c r="L66" i="100" s="1"/>
  <c r="C61" i="100"/>
  <c r="C59" i="100"/>
  <c r="L59" i="100" s="1"/>
  <c r="C57" i="100"/>
  <c r="L57" i="100" s="1"/>
  <c r="C52" i="100"/>
  <c r="C50" i="100"/>
  <c r="L50" i="100" s="1"/>
  <c r="C48" i="100"/>
  <c r="K48" i="100" s="1"/>
  <c r="C42" i="100"/>
  <c r="K42" i="100" s="1"/>
  <c r="C40" i="100"/>
  <c r="L40" i="100" s="1"/>
  <c r="C38" i="100"/>
  <c r="C36" i="100"/>
  <c r="K36" i="100" s="1"/>
  <c r="C34" i="100"/>
  <c r="L34" i="100" s="1"/>
  <c r="C32" i="100"/>
  <c r="L32" i="100" s="1"/>
  <c r="C30" i="100"/>
  <c r="F30" i="100" s="1"/>
  <c r="C28" i="100"/>
  <c r="L28" i="100" s="1"/>
  <c r="C26" i="100"/>
  <c r="L26" i="100" s="1"/>
  <c r="C24" i="100"/>
  <c r="K24" i="100" s="1"/>
  <c r="C22" i="100"/>
  <c r="C20" i="100"/>
  <c r="L20" i="100" s="1"/>
  <c r="A106" i="100"/>
  <c r="A120" i="100"/>
  <c r="A122" i="100"/>
  <c r="A119" i="100"/>
  <c r="C108" i="100"/>
  <c r="C110" i="100" s="1"/>
  <c r="C116" i="100" s="1"/>
  <c r="L116" i="100" s="1"/>
  <c r="I49" i="79"/>
  <c r="M49" i="79" s="1"/>
  <c r="J49" i="79"/>
  <c r="N49" i="79" s="1"/>
  <c r="K49" i="79"/>
  <c r="L49" i="79"/>
  <c r="I41" i="79"/>
  <c r="M41" i="79" s="1"/>
  <c r="J41" i="79"/>
  <c r="N41" i="79" s="1"/>
  <c r="K41" i="79"/>
  <c r="L41" i="79"/>
  <c r="F43" i="79"/>
  <c r="I43" i="79"/>
  <c r="M43" i="79" s="1"/>
  <c r="J43" i="79"/>
  <c r="N43" i="79" s="1"/>
  <c r="K43" i="79"/>
  <c r="L43" i="79"/>
  <c r="I45" i="79"/>
  <c r="M45" i="79" s="1"/>
  <c r="J45" i="79"/>
  <c r="N45" i="79" s="1"/>
  <c r="K45" i="79"/>
  <c r="L45" i="79"/>
  <c r="F47" i="79"/>
  <c r="I47" i="79"/>
  <c r="M47" i="79" s="1"/>
  <c r="J47" i="79"/>
  <c r="N47" i="79" s="1"/>
  <c r="K47" i="79"/>
  <c r="L47" i="79"/>
  <c r="F11" i="79"/>
  <c r="I11" i="79"/>
  <c r="M11" i="79" s="1"/>
  <c r="J11" i="79"/>
  <c r="N11" i="79" s="1"/>
  <c r="K11" i="79"/>
  <c r="L11" i="79"/>
  <c r="I13" i="79"/>
  <c r="J13" i="79"/>
  <c r="N13" i="79" s="1"/>
  <c r="K13" i="79"/>
  <c r="L13" i="79"/>
  <c r="M13" i="79"/>
  <c r="F15" i="79"/>
  <c r="I15" i="79"/>
  <c r="M15" i="79" s="1"/>
  <c r="J15" i="79"/>
  <c r="N15" i="79" s="1"/>
  <c r="K15" i="79"/>
  <c r="L15" i="79"/>
  <c r="I17" i="79"/>
  <c r="M17" i="79" s="1"/>
  <c r="J17" i="79"/>
  <c r="N17" i="79" s="1"/>
  <c r="K17" i="79"/>
  <c r="L17" i="79"/>
  <c r="F19" i="79"/>
  <c r="I19" i="79"/>
  <c r="J19" i="79"/>
  <c r="N19" i="79" s="1"/>
  <c r="K19" i="79"/>
  <c r="L19" i="79"/>
  <c r="M19" i="79"/>
  <c r="F21" i="79"/>
  <c r="I21" i="79"/>
  <c r="M21" i="79" s="1"/>
  <c r="J21" i="79"/>
  <c r="N21" i="79" s="1"/>
  <c r="K21" i="79"/>
  <c r="L21" i="79"/>
  <c r="I23" i="79"/>
  <c r="M23" i="79" s="1"/>
  <c r="J23" i="79"/>
  <c r="N23" i="79" s="1"/>
  <c r="K23" i="79"/>
  <c r="L23" i="79"/>
  <c r="I25" i="79"/>
  <c r="M25" i="79" s="1"/>
  <c r="J25" i="79"/>
  <c r="N25" i="79" s="1"/>
  <c r="K25" i="79"/>
  <c r="L25" i="79"/>
  <c r="F27" i="79"/>
  <c r="I27" i="79"/>
  <c r="M27" i="79" s="1"/>
  <c r="J27" i="79"/>
  <c r="N27" i="79" s="1"/>
  <c r="K27" i="79"/>
  <c r="L27" i="79"/>
  <c r="F29" i="79"/>
  <c r="I29" i="79"/>
  <c r="M29" i="79" s="1"/>
  <c r="J29" i="79"/>
  <c r="N29" i="79" s="1"/>
  <c r="K29" i="79"/>
  <c r="L29" i="79"/>
  <c r="I31" i="79"/>
  <c r="M31" i="79" s="1"/>
  <c r="J31" i="79"/>
  <c r="N31" i="79" s="1"/>
  <c r="K31" i="79"/>
  <c r="L31" i="79"/>
  <c r="I33" i="79"/>
  <c r="M33" i="79" s="1"/>
  <c r="J33" i="79"/>
  <c r="N33" i="79" s="1"/>
  <c r="K33" i="79"/>
  <c r="L33" i="79"/>
  <c r="F35" i="79"/>
  <c r="I35" i="79"/>
  <c r="M35" i="79" s="1"/>
  <c r="J35" i="79"/>
  <c r="N35" i="79" s="1"/>
  <c r="K35" i="79"/>
  <c r="L35" i="79"/>
  <c r="I37" i="79"/>
  <c r="M37" i="79" s="1"/>
  <c r="J37" i="79"/>
  <c r="N37" i="79" s="1"/>
  <c r="K37" i="79"/>
  <c r="L37" i="79"/>
  <c r="I39" i="79"/>
  <c r="M39" i="79" s="1"/>
  <c r="J39" i="79"/>
  <c r="N39" i="79" s="1"/>
  <c r="K39" i="79"/>
  <c r="L39" i="79"/>
  <c r="L5" i="109"/>
  <c r="F41" i="90" l="1"/>
  <c r="M41" i="90"/>
  <c r="N41" i="90"/>
  <c r="K41" i="90"/>
  <c r="M11" i="91"/>
  <c r="L11" i="91"/>
  <c r="N11" i="91"/>
  <c r="A17" i="93"/>
  <c r="A19" i="93" s="1"/>
  <c r="E87" i="77"/>
  <c r="F87" i="77" s="1"/>
  <c r="N87" i="77"/>
  <c r="E85" i="77"/>
  <c r="F85" i="77" s="1"/>
  <c r="E79" i="77"/>
  <c r="F79" i="77" s="1"/>
  <c r="L16" i="101"/>
  <c r="N16" i="101"/>
  <c r="M43" i="77"/>
  <c r="N43" i="77"/>
  <c r="L10" i="100"/>
  <c r="K10" i="100"/>
  <c r="N10" i="100"/>
  <c r="M10" i="100"/>
  <c r="A20" i="101"/>
  <c r="M108" i="100"/>
  <c r="N114" i="100"/>
  <c r="L110" i="100"/>
  <c r="K114" i="100"/>
  <c r="F110" i="100"/>
  <c r="M116" i="100"/>
  <c r="M110" i="100"/>
  <c r="N116" i="100"/>
  <c r="K108" i="100"/>
  <c r="N110" i="100"/>
  <c r="F114" i="100"/>
  <c r="K116" i="100"/>
  <c r="N108" i="100"/>
  <c r="F108" i="100"/>
  <c r="L108" i="100"/>
  <c r="K110" i="100"/>
  <c r="M114" i="100"/>
  <c r="F116" i="100"/>
  <c r="K26" i="100"/>
  <c r="N22" i="100"/>
  <c r="N26" i="100"/>
  <c r="N38" i="100"/>
  <c r="M22" i="100"/>
  <c r="L30" i="100"/>
  <c r="N24" i="100"/>
  <c r="N32" i="100"/>
  <c r="F36" i="100"/>
  <c r="L36" i="100"/>
  <c r="L48" i="100"/>
  <c r="K50" i="100"/>
  <c r="M61" i="100"/>
  <c r="K73" i="100"/>
  <c r="N36" i="100"/>
  <c r="M24" i="100"/>
  <c r="K30" i="100"/>
  <c r="K32" i="100"/>
  <c r="M38" i="100"/>
  <c r="F48" i="100"/>
  <c r="F50" i="100"/>
  <c r="N61" i="100"/>
  <c r="F73" i="100"/>
  <c r="M48" i="100"/>
  <c r="N59" i="100"/>
  <c r="M73" i="100"/>
  <c r="K59" i="100"/>
  <c r="N20" i="100"/>
  <c r="N28" i="100"/>
  <c r="K52" i="100"/>
  <c r="K66" i="100"/>
  <c r="K20" i="100"/>
  <c r="L24" i="100"/>
  <c r="F24" i="100"/>
  <c r="K22" i="100"/>
  <c r="F26" i="100"/>
  <c r="K28" i="100"/>
  <c r="M30" i="100"/>
  <c r="F32" i="100"/>
  <c r="K34" i="100"/>
  <c r="M36" i="100"/>
  <c r="K38" i="100"/>
  <c r="N40" i="100"/>
  <c r="F42" i="100"/>
  <c r="L42" i="100"/>
  <c r="N48" i="100"/>
  <c r="M50" i="100"/>
  <c r="F52" i="100"/>
  <c r="L52" i="100"/>
  <c r="M57" i="100"/>
  <c r="F59" i="100"/>
  <c r="K61" i="100"/>
  <c r="F66" i="100"/>
  <c r="K68" i="100"/>
  <c r="F78" i="100"/>
  <c r="L78" i="100"/>
  <c r="L22" i="100"/>
  <c r="F22" i="100"/>
  <c r="M40" i="100"/>
  <c r="F57" i="100"/>
  <c r="F20" i="100"/>
  <c r="M26" i="100"/>
  <c r="F28" i="100"/>
  <c r="N30" i="100"/>
  <c r="M32" i="100"/>
  <c r="F34" i="100"/>
  <c r="F38" i="100"/>
  <c r="L38" i="100"/>
  <c r="K40" i="100"/>
  <c r="M42" i="100"/>
  <c r="N50" i="100"/>
  <c r="M52" i="100"/>
  <c r="N57" i="100"/>
  <c r="M59" i="100"/>
  <c r="F61" i="100"/>
  <c r="L61" i="100"/>
  <c r="M66" i="100"/>
  <c r="F68" i="100"/>
  <c r="N73" i="100"/>
  <c r="M78" i="100"/>
  <c r="M20" i="100"/>
  <c r="M28" i="100"/>
  <c r="M34" i="100"/>
  <c r="F40" i="100"/>
  <c r="N42" i="100"/>
  <c r="N52" i="100"/>
  <c r="K57" i="100"/>
  <c r="N66" i="100"/>
  <c r="M68" i="100"/>
  <c r="N78" i="100"/>
  <c r="N34" i="100"/>
  <c r="N68" i="100"/>
  <c r="A21" i="93" l="1"/>
  <c r="A23" i="93" s="1"/>
  <c r="A22" i="101"/>
  <c r="A25" i="93" l="1"/>
  <c r="A27" i="93" s="1"/>
  <c r="A31" i="93" s="1"/>
  <c r="A26" i="101"/>
  <c r="A28" i="101" s="1"/>
  <c r="A33" i="93" l="1"/>
  <c r="A35" i="93" s="1"/>
  <c r="A37" i="93" s="1"/>
  <c r="A30" i="101"/>
  <c r="A32" i="101" s="1"/>
  <c r="A34" i="101" s="1"/>
  <c r="A41" i="93" l="1"/>
  <c r="A43" i="93" s="1"/>
  <c r="A47" i="93" s="1"/>
  <c r="A51" i="93" s="1"/>
  <c r="A36" i="101"/>
  <c r="A38" i="101" s="1"/>
  <c r="A34" i="82"/>
  <c r="A41" i="101" l="1"/>
  <c r="A44" i="101" l="1"/>
  <c r="A42" i="78"/>
  <c r="A43" i="78"/>
  <c r="A44" i="78"/>
  <c r="A48" i="78"/>
  <c r="A50" i="78"/>
  <c r="A51" i="78"/>
  <c r="A52" i="78"/>
  <c r="A54" i="78"/>
  <c r="A56" i="78"/>
  <c r="A57" i="78"/>
  <c r="A58" i="78"/>
  <c r="A23" i="82"/>
  <c r="A24" i="82"/>
  <c r="A26" i="82"/>
  <c r="A32" i="82"/>
  <c r="A33" i="82"/>
  <c r="A35" i="82"/>
  <c r="L10" i="82"/>
  <c r="K10" i="82"/>
  <c r="J10" i="82"/>
  <c r="N10" i="82" s="1"/>
  <c r="I10" i="82"/>
  <c r="M10" i="82" s="1"/>
  <c r="A14" i="90"/>
  <c r="A16" i="90"/>
  <c r="A18" i="90"/>
  <c r="A20" i="90"/>
  <c r="A21" i="90"/>
  <c r="A22" i="90"/>
  <c r="A24" i="90"/>
  <c r="A26" i="90"/>
  <c r="A28" i="90"/>
  <c r="A30" i="90"/>
  <c r="A32" i="90"/>
  <c r="A34" i="90"/>
  <c r="A35" i="90"/>
  <c r="A36" i="90"/>
  <c r="A38" i="90"/>
  <c r="A40" i="90"/>
  <c r="A42" i="90"/>
  <c r="A44" i="90"/>
  <c r="A46" i="90"/>
  <c r="A47" i="90"/>
  <c r="A48" i="90"/>
  <c r="A49" i="90"/>
  <c r="A51" i="90"/>
  <c r="A52" i="90"/>
  <c r="A53" i="90"/>
  <c r="A55" i="90"/>
  <c r="A56" i="90"/>
  <c r="A57" i="90"/>
  <c r="A58" i="90"/>
  <c r="L59" i="90"/>
  <c r="K59" i="90"/>
  <c r="J59" i="90"/>
  <c r="N59" i="90" s="1"/>
  <c r="I59" i="90"/>
  <c r="M59" i="90" s="1"/>
  <c r="A96" i="77"/>
  <c r="A97" i="77"/>
  <c r="L95" i="77"/>
  <c r="K95" i="77"/>
  <c r="J95" i="77"/>
  <c r="N95" i="77" s="1"/>
  <c r="I95" i="77"/>
  <c r="M95" i="77" s="1"/>
  <c r="L77" i="77"/>
  <c r="K77" i="77"/>
  <c r="J77" i="77"/>
  <c r="N77" i="77" s="1"/>
  <c r="I77" i="77"/>
  <c r="M77" i="77" s="1"/>
  <c r="A27" i="110"/>
  <c r="A28" i="110"/>
  <c r="A29" i="110"/>
  <c r="N30" i="110"/>
  <c r="M30" i="110"/>
  <c r="L30" i="110"/>
  <c r="P30" i="110" s="1"/>
  <c r="K30" i="110"/>
  <c r="O30" i="110" s="1"/>
  <c r="A21" i="105"/>
  <c r="A36" i="105"/>
  <c r="A37" i="105"/>
  <c r="A39" i="105"/>
  <c r="A41" i="105"/>
  <c r="A42" i="105"/>
  <c r="A43" i="105"/>
  <c r="A45" i="105"/>
  <c r="A47" i="105"/>
  <c r="A48" i="105"/>
  <c r="A49" i="105"/>
  <c r="A21" i="107"/>
  <c r="A107" i="100"/>
  <c r="A109" i="100"/>
  <c r="A111" i="100"/>
  <c r="A113" i="100"/>
  <c r="A115" i="100"/>
  <c r="A117" i="100"/>
  <c r="A124" i="100"/>
  <c r="A127" i="100"/>
  <c r="J9" i="79"/>
  <c r="I9" i="79"/>
  <c r="B2" i="95"/>
  <c r="A47" i="101" l="1"/>
  <c r="A49" i="101" s="1"/>
  <c r="A52" i="101" s="1"/>
  <c r="F95" i="77"/>
  <c r="H30" i="110"/>
  <c r="E91" i="77"/>
  <c r="F91" i="77" s="1"/>
  <c r="F77" i="77"/>
  <c r="F59" i="90"/>
  <c r="A55" i="101" l="1"/>
  <c r="A57" i="101" s="1"/>
  <c r="A60" i="101" s="1"/>
  <c r="A63" i="101" s="1"/>
  <c r="J20" i="92"/>
  <c r="J21" i="92"/>
  <c r="A22" i="92"/>
  <c r="J22" i="92"/>
  <c r="N49" i="90" l="1"/>
  <c r="N48" i="90"/>
  <c r="C39" i="90"/>
  <c r="C25" i="90"/>
  <c r="C13" i="90"/>
  <c r="K15" i="110"/>
  <c r="O15" i="110" s="1"/>
  <c r="N35" i="90"/>
  <c r="C15" i="90"/>
  <c r="C31" i="90"/>
  <c r="C27" i="90"/>
  <c r="N120" i="100"/>
  <c r="N117" i="100"/>
  <c r="N115" i="100"/>
  <c r="N113" i="100"/>
  <c r="N111" i="100"/>
  <c r="N109" i="100"/>
  <c r="N107" i="100"/>
  <c r="A10" i="107"/>
  <c r="Z10" i="107"/>
  <c r="AG11" i="107"/>
  <c r="S4" i="110"/>
  <c r="R4" i="110"/>
  <c r="R5" i="110"/>
  <c r="S5" i="110"/>
  <c r="N21" i="90"/>
  <c r="A9" i="107"/>
  <c r="Z9" i="107"/>
  <c r="M40" i="111"/>
  <c r="M39" i="111"/>
  <c r="M38" i="111"/>
  <c r="M37" i="111"/>
  <c r="M36" i="111"/>
  <c r="AF11" i="107" s="1"/>
  <c r="M35" i="111"/>
  <c r="M34" i="111"/>
  <c r="M33" i="111"/>
  <c r="M32" i="111"/>
  <c r="M31" i="111"/>
  <c r="M30" i="111"/>
  <c r="K9" i="111"/>
  <c r="K11" i="111"/>
  <c r="K13" i="111"/>
  <c r="K15" i="111"/>
  <c r="K19" i="111"/>
  <c r="K21" i="111"/>
  <c r="K23" i="111"/>
  <c r="K25" i="111"/>
  <c r="AH11" i="107"/>
  <c r="I15" i="100"/>
  <c r="D4" i="111"/>
  <c r="D6" i="111"/>
  <c r="D8" i="111"/>
  <c r="J58" i="78"/>
  <c r="J59" i="78"/>
  <c r="A60" i="78"/>
  <c r="J60" i="78"/>
  <c r="L57" i="93"/>
  <c r="K57" i="93"/>
  <c r="J57" i="93"/>
  <c r="N57" i="93" s="1"/>
  <c r="I57" i="93"/>
  <c r="M57" i="93" s="1"/>
  <c r="L55" i="93"/>
  <c r="J55" i="93"/>
  <c r="N55" i="93" s="1"/>
  <c r="L11" i="106"/>
  <c r="J11" i="106"/>
  <c r="N11" i="106" s="1"/>
  <c r="L11" i="92"/>
  <c r="L21" i="92" s="1"/>
  <c r="J11" i="92"/>
  <c r="N11" i="92" s="1"/>
  <c r="J9" i="91"/>
  <c r="I48" i="90"/>
  <c r="J48" i="90"/>
  <c r="M48" i="90"/>
  <c r="I52" i="90"/>
  <c r="J52" i="90"/>
  <c r="M52" i="90"/>
  <c r="N52" i="90"/>
  <c r="I75" i="77"/>
  <c r="J75" i="77"/>
  <c r="M75" i="77"/>
  <c r="N75" i="77"/>
  <c r="I81" i="77"/>
  <c r="J81" i="77"/>
  <c r="M81" i="77"/>
  <c r="N81" i="77"/>
  <c r="K28" i="110"/>
  <c r="L28" i="110"/>
  <c r="O28" i="110"/>
  <c r="P28" i="110"/>
  <c r="K33" i="110"/>
  <c r="L33" i="110"/>
  <c r="I39" i="105"/>
  <c r="J39" i="105"/>
  <c r="I41" i="105"/>
  <c r="J41" i="105"/>
  <c r="I42" i="105"/>
  <c r="J42" i="105"/>
  <c r="I43" i="105"/>
  <c r="J43" i="105"/>
  <c r="I45" i="105"/>
  <c r="J45" i="105"/>
  <c r="I47" i="105"/>
  <c r="J47" i="105"/>
  <c r="I48" i="105"/>
  <c r="J48" i="105"/>
  <c r="I49" i="105"/>
  <c r="J49" i="105"/>
  <c r="I53" i="105"/>
  <c r="J53" i="105"/>
  <c r="J34" i="105"/>
  <c r="N34" i="105" s="1"/>
  <c r="J12" i="101"/>
  <c r="I12" i="100"/>
  <c r="J12" i="100"/>
  <c r="I14" i="100"/>
  <c r="J14" i="100"/>
  <c r="J15" i="100"/>
  <c r="I17" i="100"/>
  <c r="J17" i="100"/>
  <c r="N9" i="79"/>
  <c r="L9" i="79"/>
  <c r="L52" i="79" s="1"/>
  <c r="G7" i="109" s="1"/>
  <c r="L34" i="105"/>
  <c r="I11" i="92"/>
  <c r="M11" i="92" s="1"/>
  <c r="M21" i="92" s="1"/>
  <c r="I11" i="106"/>
  <c r="M9" i="79"/>
  <c r="M52" i="79" s="1"/>
  <c r="H7" i="109" s="1"/>
  <c r="K34" i="105"/>
  <c r="I9" i="91"/>
  <c r="K11" i="106"/>
  <c r="K11" i="92"/>
  <c r="K21" i="92" s="1"/>
  <c r="N8" i="78"/>
  <c r="N8" i="93"/>
  <c r="N8" i="82"/>
  <c r="N8" i="106"/>
  <c r="N8" i="92"/>
  <c r="N8" i="91"/>
  <c r="N8" i="90"/>
  <c r="N8" i="77"/>
  <c r="P14" i="110"/>
  <c r="P13" i="110"/>
  <c r="P9" i="110"/>
  <c r="N49" i="105"/>
  <c r="N48" i="105"/>
  <c r="N47" i="105"/>
  <c r="N45" i="105"/>
  <c r="N8" i="105"/>
  <c r="N8" i="107"/>
  <c r="N10" i="101"/>
  <c r="N9" i="101"/>
  <c r="N8" i="101"/>
  <c r="N18" i="100"/>
  <c r="N14" i="100"/>
  <c r="N13" i="100"/>
  <c r="N11" i="100"/>
  <c r="N9" i="100"/>
  <c r="N8" i="100"/>
  <c r="N8" i="79"/>
  <c r="J59" i="82"/>
  <c r="J19" i="106"/>
  <c r="J122" i="90"/>
  <c r="J101" i="77"/>
  <c r="L35" i="110"/>
  <c r="J24" i="107"/>
  <c r="J66" i="101"/>
  <c r="H32" i="97"/>
  <c r="H34" i="97"/>
  <c r="H35" i="97"/>
  <c r="H36" i="97"/>
  <c r="H37" i="97"/>
  <c r="H38" i="97"/>
  <c r="H39" i="97"/>
  <c r="H40" i="97"/>
  <c r="H41" i="97"/>
  <c r="H42" i="97"/>
  <c r="H43" i="97"/>
  <c r="H44" i="97"/>
  <c r="H45" i="97"/>
  <c r="H46" i="97"/>
  <c r="H47" i="97"/>
  <c r="H48" i="97"/>
  <c r="H51" i="97"/>
  <c r="H52" i="97"/>
  <c r="H53" i="97"/>
  <c r="H54" i="97"/>
  <c r="H55" i="97"/>
  <c r="H56" i="97"/>
  <c r="H57" i="97"/>
  <c r="H58" i="97"/>
  <c r="H59" i="97"/>
  <c r="H60" i="97"/>
  <c r="H61" i="97"/>
  <c r="H62" i="97"/>
  <c r="H63" i="97"/>
  <c r="J61" i="93"/>
  <c r="J60" i="93"/>
  <c r="J59" i="93"/>
  <c r="J58" i="82"/>
  <c r="J57" i="82"/>
  <c r="J18" i="106"/>
  <c r="J28" i="91"/>
  <c r="J27" i="91"/>
  <c r="J121" i="90"/>
  <c r="J100" i="77"/>
  <c r="J99" i="77"/>
  <c r="L34" i="110"/>
  <c r="J55" i="105"/>
  <c r="J54" i="105"/>
  <c r="J23" i="107"/>
  <c r="J65" i="101"/>
  <c r="J51" i="79"/>
  <c r="A34" i="110"/>
  <c r="A33" i="110"/>
  <c r="A32" i="110"/>
  <c r="A31" i="110"/>
  <c r="N15" i="110"/>
  <c r="L15" i="110"/>
  <c r="P15" i="110" s="1"/>
  <c r="A11" i="95"/>
  <c r="A12" i="95" s="1"/>
  <c r="A13" i="95" s="1"/>
  <c r="A14" i="95" s="1"/>
  <c r="A15" i="95" s="1"/>
  <c r="A16" i="95" s="1"/>
  <c r="A17" i="95" s="1"/>
  <c r="A18" i="95" s="1"/>
  <c r="B3" i="108"/>
  <c r="B3" i="109" s="1"/>
  <c r="B2" i="108"/>
  <c r="B2" i="109" s="1"/>
  <c r="A24" i="107"/>
  <c r="A22" i="107"/>
  <c r="J8" i="107"/>
  <c r="A8" i="107"/>
  <c r="Z13" i="107" s="1"/>
  <c r="H64" i="97"/>
  <c r="A64" i="101"/>
  <c r="A64" i="97"/>
  <c r="A63" i="97"/>
  <c r="A62" i="97"/>
  <c r="A61" i="97"/>
  <c r="A60" i="97"/>
  <c r="A59" i="97"/>
  <c r="A58" i="97"/>
  <c r="A57" i="97"/>
  <c r="A56" i="97"/>
  <c r="A55" i="97"/>
  <c r="A54" i="97"/>
  <c r="A53" i="97"/>
  <c r="A52" i="97"/>
  <c r="A51" i="97"/>
  <c r="A48" i="97"/>
  <c r="A47" i="97"/>
  <c r="A46" i="97"/>
  <c r="A45" i="97"/>
  <c r="A44" i="97"/>
  <c r="A43" i="97"/>
  <c r="A42" i="97"/>
  <c r="A41" i="97"/>
  <c r="A40" i="97"/>
  <c r="A39" i="97"/>
  <c r="A38" i="97"/>
  <c r="A37" i="97"/>
  <c r="A36" i="97"/>
  <c r="A35" i="97"/>
  <c r="A34" i="97"/>
  <c r="A30" i="97"/>
  <c r="A28" i="97"/>
  <c r="A26" i="97"/>
  <c r="A24" i="97"/>
  <c r="A22" i="97"/>
  <c r="A20" i="97"/>
  <c r="A18" i="97"/>
  <c r="A16" i="97"/>
  <c r="A14" i="97"/>
  <c r="A12" i="97"/>
  <c r="A61" i="93"/>
  <c r="A59" i="82"/>
  <c r="A57" i="82"/>
  <c r="A56" i="82"/>
  <c r="A19" i="106"/>
  <c r="A17" i="106"/>
  <c r="A16" i="106"/>
  <c r="A14" i="106"/>
  <c r="A27" i="91"/>
  <c r="A122" i="90"/>
  <c r="A101" i="77"/>
  <c r="A99" i="77"/>
  <c r="A98" i="77"/>
  <c r="A55" i="105"/>
  <c r="A53" i="105"/>
  <c r="A131" i="100"/>
  <c r="A129" i="100"/>
  <c r="A51" i="79"/>
  <c r="H19" i="97"/>
  <c r="A65" i="97"/>
  <c r="A66" i="101"/>
  <c r="H13" i="97"/>
  <c r="H11" i="97"/>
  <c r="C17" i="100"/>
  <c r="B3" i="95"/>
  <c r="B3" i="91" s="1"/>
  <c r="B2" i="90"/>
  <c r="B2" i="106"/>
  <c r="B2" i="78"/>
  <c r="B2" i="101"/>
  <c r="B2" i="82"/>
  <c r="B2" i="93"/>
  <c r="B2" i="100"/>
  <c r="B2" i="105"/>
  <c r="B2" i="110" s="1"/>
  <c r="B2" i="77"/>
  <c r="H9" i="97"/>
  <c r="F9" i="97" s="1"/>
  <c r="L15" i="90" l="1"/>
  <c r="K15" i="90"/>
  <c r="F15" i="90"/>
  <c r="N15" i="90"/>
  <c r="M15" i="90"/>
  <c r="F13" i="90"/>
  <c r="A13" i="90" s="1"/>
  <c r="L13" i="90"/>
  <c r="K13" i="90"/>
  <c r="M13" i="90"/>
  <c r="N13" i="90"/>
  <c r="F25" i="90"/>
  <c r="K25" i="90"/>
  <c r="L25" i="90"/>
  <c r="M25" i="90"/>
  <c r="N25" i="90"/>
  <c r="F39" i="90"/>
  <c r="L39" i="90"/>
  <c r="K39" i="90"/>
  <c r="N39" i="90"/>
  <c r="M39" i="90"/>
  <c r="L27" i="90"/>
  <c r="F27" i="90"/>
  <c r="K27" i="90"/>
  <c r="N27" i="90"/>
  <c r="M27" i="90"/>
  <c r="F31" i="90"/>
  <c r="L31" i="90"/>
  <c r="K31" i="90"/>
  <c r="M31" i="90"/>
  <c r="N31" i="90"/>
  <c r="L18" i="106"/>
  <c r="G27" i="109" s="1"/>
  <c r="N58" i="82"/>
  <c r="I29" i="109" s="1"/>
  <c r="L60" i="93"/>
  <c r="G31" i="109" s="1"/>
  <c r="B3" i="77"/>
  <c r="B3" i="93"/>
  <c r="B3" i="92"/>
  <c r="B3" i="90"/>
  <c r="B3" i="79"/>
  <c r="B3" i="101"/>
  <c r="B3" i="105"/>
  <c r="B3" i="110" s="1"/>
  <c r="B3" i="107"/>
  <c r="B3" i="97"/>
  <c r="B3" i="106"/>
  <c r="B3" i="82"/>
  <c r="B3" i="100"/>
  <c r="B3" i="78"/>
  <c r="C29" i="90"/>
  <c r="C43" i="90"/>
  <c r="N21" i="92"/>
  <c r="I25" i="109" s="1"/>
  <c r="K18" i="106"/>
  <c r="F27" i="109" s="1"/>
  <c r="C19" i="90"/>
  <c r="B2" i="97"/>
  <c r="B2" i="107"/>
  <c r="B2" i="91"/>
  <c r="B2" i="79"/>
  <c r="B2" i="92"/>
  <c r="F52" i="79"/>
  <c r="D7" i="109" s="1"/>
  <c r="N52" i="79"/>
  <c r="I7" i="109" s="1"/>
  <c r="K9" i="79"/>
  <c r="K52" i="79" s="1"/>
  <c r="F7" i="109" s="1"/>
  <c r="N34" i="110"/>
  <c r="G17" i="109" s="1"/>
  <c r="C45" i="90"/>
  <c r="I12" i="101"/>
  <c r="F12" i="101" s="1"/>
  <c r="C12" i="100"/>
  <c r="K12" i="100" s="1"/>
  <c r="L17" i="100"/>
  <c r="K17" i="100"/>
  <c r="M17" i="100"/>
  <c r="L15" i="100"/>
  <c r="N15" i="100"/>
  <c r="M15" i="100"/>
  <c r="F17" i="100"/>
  <c r="F15" i="100"/>
  <c r="A15" i="100" s="1"/>
  <c r="K15" i="100"/>
  <c r="N17" i="100"/>
  <c r="I34" i="105"/>
  <c r="C33" i="90"/>
  <c r="C17" i="90"/>
  <c r="N60" i="93"/>
  <c r="I31" i="109" s="1"/>
  <c r="L58" i="82"/>
  <c r="G29" i="109" s="1"/>
  <c r="K58" i="82"/>
  <c r="F29" i="109" s="1"/>
  <c r="M11" i="106"/>
  <c r="M18" i="106" s="1"/>
  <c r="H27" i="109" s="1"/>
  <c r="N18" i="106"/>
  <c r="I27" i="109" s="1"/>
  <c r="A15" i="106"/>
  <c r="H25" i="109"/>
  <c r="G25" i="109"/>
  <c r="F11" i="92"/>
  <c r="F25" i="109"/>
  <c r="J11" i="107"/>
  <c r="AM11" i="107" s="1"/>
  <c r="AK11" i="107"/>
  <c r="L11" i="107"/>
  <c r="L23" i="107" s="1"/>
  <c r="AI11" i="107"/>
  <c r="AJ11" i="107"/>
  <c r="I11" i="107"/>
  <c r="M11" i="107" s="1"/>
  <c r="K11" i="107"/>
  <c r="K23" i="107" s="1"/>
  <c r="L12" i="101"/>
  <c r="M15" i="110"/>
  <c r="K12" i="101"/>
  <c r="N12" i="101"/>
  <c r="H15" i="110"/>
  <c r="F43" i="90" l="1"/>
  <c r="K43" i="90"/>
  <c r="L43" i="90"/>
  <c r="N43" i="90"/>
  <c r="M43" i="90"/>
  <c r="L45" i="90"/>
  <c r="F45" i="90"/>
  <c r="K45" i="90"/>
  <c r="M45" i="90"/>
  <c r="N45" i="90"/>
  <c r="K17" i="90"/>
  <c r="F17" i="90"/>
  <c r="L17" i="90"/>
  <c r="M17" i="90"/>
  <c r="N17" i="90"/>
  <c r="L33" i="90"/>
  <c r="K33" i="90"/>
  <c r="F33" i="90"/>
  <c r="M33" i="90"/>
  <c r="N33" i="90"/>
  <c r="F19" i="90"/>
  <c r="L19" i="90"/>
  <c r="K19" i="90"/>
  <c r="M19" i="90"/>
  <c r="N19" i="90"/>
  <c r="L29" i="90"/>
  <c r="K29" i="90"/>
  <c r="F29" i="90"/>
  <c r="M29" i="90"/>
  <c r="N29" i="90"/>
  <c r="A17" i="100"/>
  <c r="A20" i="100" s="1"/>
  <c r="A22" i="100" s="1"/>
  <c r="P18" i="106"/>
  <c r="A20" i="105"/>
  <c r="A15" i="90"/>
  <c r="A12" i="82"/>
  <c r="K7" i="109"/>
  <c r="A11" i="97"/>
  <c r="A13" i="97" s="1"/>
  <c r="N11" i="107"/>
  <c r="L100" i="77"/>
  <c r="A19" i="77"/>
  <c r="L12" i="100"/>
  <c r="N12" i="100"/>
  <c r="M12" i="100"/>
  <c r="F12" i="100"/>
  <c r="M12" i="101"/>
  <c r="M34" i="105"/>
  <c r="I55" i="93"/>
  <c r="M55" i="93" s="1"/>
  <c r="M60" i="93" s="1"/>
  <c r="H31" i="109" s="1"/>
  <c r="K55" i="93"/>
  <c r="K60" i="93" s="1"/>
  <c r="F31" i="109" s="1"/>
  <c r="M58" i="82"/>
  <c r="H29" i="109" s="1"/>
  <c r="P21" i="92"/>
  <c r="F11" i="107"/>
  <c r="AL11" i="107"/>
  <c r="AD11" i="107"/>
  <c r="G13" i="109"/>
  <c r="P34" i="110"/>
  <c r="I17" i="109" s="1"/>
  <c r="M121" i="90" l="1"/>
  <c r="H21" i="109" s="1"/>
  <c r="N121" i="90"/>
  <c r="I21" i="109" s="1"/>
  <c r="L121" i="90"/>
  <c r="G21" i="109" s="1"/>
  <c r="A23" i="77"/>
  <c r="N23" i="107"/>
  <c r="I13" i="109" s="1"/>
  <c r="A26" i="105"/>
  <c r="A30" i="105" s="1"/>
  <c r="A17" i="90"/>
  <c r="AE11" i="107"/>
  <c r="K121" i="90"/>
  <c r="F21" i="109" s="1"/>
  <c r="F121" i="90"/>
  <c r="D21" i="109" s="1"/>
  <c r="A11" i="91"/>
  <c r="A12" i="91" s="1"/>
  <c r="L59" i="78"/>
  <c r="G33" i="109" s="1"/>
  <c r="A55" i="93"/>
  <c r="A57" i="93" s="1"/>
  <c r="D27" i="109"/>
  <c r="K27" i="109" s="1"/>
  <c r="D25" i="109"/>
  <c r="K25" i="109" s="1"/>
  <c r="K65" i="101"/>
  <c r="F11" i="109" s="1"/>
  <c r="A19" i="90" l="1"/>
  <c r="P121" i="90"/>
  <c r="A25" i="77"/>
  <c r="A34" i="105"/>
  <c r="D15" i="109"/>
  <c r="L54" i="105"/>
  <c r="G15" i="109" s="1"/>
  <c r="K54" i="105"/>
  <c r="F15" i="109" s="1"/>
  <c r="N54" i="105"/>
  <c r="I15" i="109" s="1"/>
  <c r="M54" i="105"/>
  <c r="H15" i="109" s="1"/>
  <c r="D11" i="109"/>
  <c r="M65" i="101"/>
  <c r="H11" i="109" s="1"/>
  <c r="L65" i="101"/>
  <c r="G11" i="109" s="1"/>
  <c r="K21" i="109"/>
  <c r="A13" i="91"/>
  <c r="A17" i="91" s="1"/>
  <c r="A19" i="91" s="1"/>
  <c r="D29" i="109"/>
  <c r="K29" i="109" s="1"/>
  <c r="P58" i="82"/>
  <c r="N65" i="101"/>
  <c r="I11" i="109" s="1"/>
  <c r="A23" i="90" l="1"/>
  <c r="A21" i="91"/>
  <c r="A23" i="91" s="1"/>
  <c r="A25" i="91" s="1"/>
  <c r="A27" i="77"/>
  <c r="A29" i="77" s="1"/>
  <c r="A24" i="100"/>
  <c r="P54" i="105"/>
  <c r="K15" i="109"/>
  <c r="A45" i="78"/>
  <c r="F13" i="109"/>
  <c r="P65" i="101"/>
  <c r="G19" i="109"/>
  <c r="K100" i="77"/>
  <c r="F19" i="109" s="1"/>
  <c r="N100" i="77"/>
  <c r="I19" i="109" s="1"/>
  <c r="M100" i="77"/>
  <c r="H19" i="109" s="1"/>
  <c r="M59" i="78"/>
  <c r="H33" i="109" s="1"/>
  <c r="P60" i="93"/>
  <c r="D31" i="109"/>
  <c r="K31" i="109" s="1"/>
  <c r="M23" i="107"/>
  <c r="H13" i="109" s="1"/>
  <c r="M34" i="110"/>
  <c r="O34" i="110"/>
  <c r="H17" i="109" s="1"/>
  <c r="K11" i="109"/>
  <c r="A25" i="90" l="1"/>
  <c r="A27" i="90" s="1"/>
  <c r="A46" i="78"/>
  <c r="A47" i="78" s="1"/>
  <c r="A31" i="77"/>
  <c r="A35" i="77" s="1"/>
  <c r="A37" i="77" s="1"/>
  <c r="A39" i="77" s="1"/>
  <c r="A26" i="100"/>
  <c r="F17" i="109"/>
  <c r="R32" i="110"/>
  <c r="P23" i="107"/>
  <c r="M9" i="91"/>
  <c r="M28" i="91" s="1"/>
  <c r="H23" i="109" s="1"/>
  <c r="K9" i="91"/>
  <c r="K28" i="91" s="1"/>
  <c r="F23" i="109" s="1"/>
  <c r="L9" i="91"/>
  <c r="L28" i="91" s="1"/>
  <c r="G23" i="109" s="1"/>
  <c r="N9" i="91"/>
  <c r="N28" i="91" s="1"/>
  <c r="I23" i="109" s="1"/>
  <c r="A29" i="90" l="1"/>
  <c r="A31" i="90" s="1"/>
  <c r="A33" i="90" s="1"/>
  <c r="A37" i="90" s="1"/>
  <c r="A39" i="90" s="1"/>
  <c r="A41" i="90" s="1"/>
  <c r="A49" i="78"/>
  <c r="A53" i="78" s="1"/>
  <c r="A55" i="78" s="1"/>
  <c r="A41" i="77"/>
  <c r="A43" i="77" s="1"/>
  <c r="A28" i="100"/>
  <c r="A30" i="100" s="1"/>
  <c r="A30" i="110"/>
  <c r="D19" i="109"/>
  <c r="K19" i="109" s="1"/>
  <c r="P100" i="77"/>
  <c r="P28" i="91"/>
  <c r="D23" i="109"/>
  <c r="K23" i="109" s="1"/>
  <c r="D13" i="109"/>
  <c r="K13" i="109" s="1"/>
  <c r="D17" i="109"/>
  <c r="A43" i="90" l="1"/>
  <c r="A45" i="90" s="1"/>
  <c r="A50" i="90" s="1"/>
  <c r="A54" i="90" s="1"/>
  <c r="A59" i="90" s="1"/>
  <c r="A47" i="77"/>
  <c r="A49" i="77" s="1"/>
  <c r="A32" i="100"/>
  <c r="A34" i="100" s="1"/>
  <c r="H23" i="97"/>
  <c r="K17" i="109"/>
  <c r="A61" i="90" l="1"/>
  <c r="A63" i="90" s="1"/>
  <c r="A65" i="90" s="1"/>
  <c r="A67" i="90" s="1"/>
  <c r="A69" i="90" s="1"/>
  <c r="A71" i="90" s="1"/>
  <c r="A73" i="90" s="1"/>
  <c r="A75" i="90" s="1"/>
  <c r="A77" i="90" s="1"/>
  <c r="A79" i="90" s="1"/>
  <c r="A81" i="90" s="1"/>
  <c r="A83" i="90" s="1"/>
  <c r="A85" i="90" s="1"/>
  <c r="A87" i="90" s="1"/>
  <c r="A89" i="90" s="1"/>
  <c r="A91" i="90" s="1"/>
  <c r="A93" i="90" s="1"/>
  <c r="A95" i="90" s="1"/>
  <c r="A99" i="90" s="1"/>
  <c r="A101" i="90" s="1"/>
  <c r="A103" i="90" s="1"/>
  <c r="A107" i="90" s="1"/>
  <c r="A109" i="90" s="1"/>
  <c r="A111" i="90" s="1"/>
  <c r="A113" i="90" s="1"/>
  <c r="A117" i="90" s="1"/>
  <c r="A51" i="77"/>
  <c r="A53" i="77" s="1"/>
  <c r="A59" i="77" s="1"/>
  <c r="A36" i="100"/>
  <c r="A38" i="100" s="1"/>
  <c r="A40" i="100" s="1"/>
  <c r="A42" i="100" s="1"/>
  <c r="A46" i="100" s="1"/>
  <c r="A48" i="100" s="1"/>
  <c r="A50" i="100" s="1"/>
  <c r="A52" i="100" s="1"/>
  <c r="A55" i="100" s="1"/>
  <c r="A57" i="100" s="1"/>
  <c r="A59" i="100" s="1"/>
  <c r="A61" i="100" s="1"/>
  <c r="A64" i="100" s="1"/>
  <c r="A66" i="100" s="1"/>
  <c r="A68" i="100" s="1"/>
  <c r="A71" i="100" s="1"/>
  <c r="A73" i="100" s="1"/>
  <c r="A76" i="100" s="1"/>
  <c r="A78" i="100" s="1"/>
  <c r="A83" i="100" s="1"/>
  <c r="A85" i="100" s="1"/>
  <c r="A87" i="100" s="1"/>
  <c r="A89" i="100" s="1"/>
  <c r="A91" i="100" s="1"/>
  <c r="A95" i="100" s="1"/>
  <c r="A97" i="100" s="1"/>
  <c r="A99" i="100" s="1"/>
  <c r="A101" i="100" s="1"/>
  <c r="A104" i="100" s="1"/>
  <c r="A61" i="77" l="1"/>
  <c r="A65" i="77" s="1"/>
  <c r="A38" i="105"/>
  <c r="A40" i="105" s="1"/>
  <c r="A44" i="105" s="1"/>
  <c r="A46" i="105" s="1"/>
  <c r="H29" i="97"/>
  <c r="H27" i="97"/>
  <c r="A69" i="77" l="1"/>
  <c r="A73" i="77" s="1"/>
  <c r="A71" i="77"/>
  <c r="C42" i="109"/>
  <c r="A77" i="77" l="1"/>
  <c r="A79" i="77" s="1"/>
  <c r="H15" i="97"/>
  <c r="H25" i="97"/>
  <c r="A83" i="77" l="1"/>
  <c r="A15" i="97"/>
  <c r="H21" i="97"/>
  <c r="H33" i="97"/>
  <c r="H17" i="97"/>
  <c r="H31" i="97"/>
  <c r="A85" i="77" l="1"/>
  <c r="A87" i="77" s="1"/>
  <c r="A91" i="77" s="1"/>
  <c r="A95" i="77" s="1"/>
  <c r="A17" i="97"/>
  <c r="A19" i="97" s="1"/>
  <c r="D38" i="109"/>
  <c r="A21" i="97" l="1"/>
  <c r="A23" i="97" l="1"/>
  <c r="A25" i="97" s="1"/>
  <c r="A27" i="97" s="1"/>
  <c r="A29" i="97" s="1"/>
  <c r="A31" i="97" s="1"/>
  <c r="A33" i="97" l="1"/>
  <c r="O39" i="78"/>
  <c r="N59" i="78"/>
  <c r="I33" i="109" s="1"/>
  <c r="K59" i="78"/>
  <c r="F33" i="109" s="1"/>
  <c r="D33" i="109"/>
  <c r="K33" i="109" l="1"/>
  <c r="P59" i="78"/>
  <c r="A125" i="100" l="1"/>
  <c r="F9" i="109"/>
  <c r="N130" i="100"/>
  <c r="I9" i="109" s="1"/>
  <c r="I36" i="109" s="1"/>
  <c r="M130" i="100"/>
  <c r="H9" i="109" s="1"/>
  <c r="H36" i="109" s="1"/>
  <c r="G9" i="109"/>
  <c r="G36" i="109" s="1"/>
  <c r="F36" i="109" l="1"/>
  <c r="K4" i="111" l="1"/>
  <c r="D9" i="109"/>
  <c r="K9" i="109" l="1"/>
  <c r="L19" i="111"/>
  <c r="L13" i="111"/>
  <c r="L7" i="111"/>
  <c r="L11" i="111"/>
  <c r="L25" i="111"/>
  <c r="L9" i="111"/>
  <c r="L21" i="111"/>
  <c r="L15" i="111"/>
  <c r="L17" i="111"/>
  <c r="L23" i="111"/>
  <c r="K27" i="111" l="1"/>
  <c r="M5" i="111" s="1"/>
  <c r="K2" i="111"/>
  <c r="K36" i="109"/>
  <c r="A108" i="100" l="1"/>
  <c r="A110" i="100" s="1"/>
  <c r="A112" i="100" s="1"/>
  <c r="A114" i="100" s="1"/>
  <c r="A116" i="100" s="1"/>
  <c r="A118" i="100" l="1"/>
  <c r="A121" i="100" s="1"/>
  <c r="A123" i="100" l="1"/>
  <c r="A126" i="100" s="1"/>
</calcChain>
</file>

<file path=xl/sharedStrings.xml><?xml version="1.0" encoding="utf-8"?>
<sst xmlns="http://schemas.openxmlformats.org/spreadsheetml/2006/main" count="1068" uniqueCount="468">
  <si>
    <t>Total</t>
  </si>
  <si>
    <t>Rate</t>
  </si>
  <si>
    <t>Unit</t>
  </si>
  <si>
    <t>Description</t>
  </si>
  <si>
    <t>FOR</t>
  </si>
  <si>
    <t>QUALIFICATIONS, ASSUMPTIONS &amp; EXCLUSIONS:</t>
  </si>
  <si>
    <t>Qualifications:-</t>
  </si>
  <si>
    <t>The following assumptions have been made in drawing up the costs:-</t>
  </si>
  <si>
    <t>Quantity</t>
  </si>
  <si>
    <t>Preliminaries</t>
  </si>
  <si>
    <t>m2</t>
  </si>
  <si>
    <t>item</t>
  </si>
  <si>
    <t>no.</t>
  </si>
  <si>
    <t>m</t>
  </si>
  <si>
    <t>Superstructure</t>
  </si>
  <si>
    <t>Demolition</t>
  </si>
  <si>
    <t>Mechanical</t>
  </si>
  <si>
    <t>Hot and cold water pipe installations;  pipework and sundry items to completion</t>
  </si>
  <si>
    <t>Waste plumbing and drainage including pipework and sundry items to completion</t>
  </si>
  <si>
    <t>Substructure</t>
  </si>
  <si>
    <t>Electrical</t>
  </si>
  <si>
    <t>Kitchen &amp; Bathrooms</t>
  </si>
  <si>
    <t>Door frame</t>
  </si>
  <si>
    <t>Builders work in connection</t>
  </si>
  <si>
    <t>Testing and commissioning</t>
  </si>
  <si>
    <t>STUDWORK PARTITIONS</t>
  </si>
  <si>
    <t>Install single door</t>
  </si>
  <si>
    <t>Install ironmongery</t>
  </si>
  <si>
    <t>Joinery</t>
  </si>
  <si>
    <t>Decoration</t>
  </si>
  <si>
    <t>Internal Walls and Partitions</t>
  </si>
  <si>
    <t>SINGLE DOOR</t>
  </si>
  <si>
    <t>Pre-start meeting and site investigation will be required before commencement on site</t>
  </si>
  <si>
    <t>Site inspections to be carried out, this may cause additions/omissions to the tender documents</t>
  </si>
  <si>
    <t>Labour</t>
  </si>
  <si>
    <t>Materials</t>
  </si>
  <si>
    <t>Plant</t>
  </si>
  <si>
    <t>Partitions</t>
  </si>
  <si>
    <t>Floor Finishes</t>
  </si>
  <si>
    <t>Scaffolding and safe stands</t>
  </si>
  <si>
    <t>Welfare facilities</t>
  </si>
  <si>
    <t>Small plant and tools</t>
  </si>
  <si>
    <t>Protection</t>
  </si>
  <si>
    <t>Temporary supplies</t>
  </si>
  <si>
    <t>Lifting and propping</t>
  </si>
  <si>
    <t xml:space="preserve">Excavate to reduce levels </t>
  </si>
  <si>
    <t>m3</t>
  </si>
  <si>
    <t>Cart away spoil (assume clean and inert)</t>
  </si>
  <si>
    <t>12.5mm plasterboard</t>
  </si>
  <si>
    <t>GENERAL</t>
  </si>
  <si>
    <t>Rubbish removal; skips</t>
  </si>
  <si>
    <t>1 mist coat and 2 final coats of matt emulsion</t>
  </si>
  <si>
    <t xml:space="preserve">1 coat of primer and 1 coat of eggshell gloss to skirting and architraves </t>
  </si>
  <si>
    <t>1 coat of primer and 1 coat of eggshell gloss to doors</t>
  </si>
  <si>
    <t>REDUCE LEVELS</t>
  </si>
  <si>
    <t>Ceilings; 3mm skim finish</t>
  </si>
  <si>
    <t>DOUBLE DOOR</t>
  </si>
  <si>
    <t>Install double door</t>
  </si>
  <si>
    <t>WASTE SERVICES</t>
  </si>
  <si>
    <t>Item</t>
  </si>
  <si>
    <t>TILING</t>
  </si>
  <si>
    <t>KITCHEN</t>
  </si>
  <si>
    <t>UTILITY</t>
  </si>
  <si>
    <t>Health &amp; safety</t>
  </si>
  <si>
    <t>Insurance</t>
  </si>
  <si>
    <t>Roof</t>
  </si>
  <si>
    <t>Soffit</t>
  </si>
  <si>
    <t>Fascia</t>
  </si>
  <si>
    <t>LEAD FLASHING</t>
  </si>
  <si>
    <t>STRUCTURAL STEELWORK</t>
  </si>
  <si>
    <t>Doors</t>
  </si>
  <si>
    <t>Windows</t>
  </si>
  <si>
    <t>Rooflights</t>
  </si>
  <si>
    <t>Wall Finishes</t>
  </si>
  <si>
    <t>SKIRTING</t>
  </si>
  <si>
    <t>SPECIALIST JOINERY</t>
  </si>
  <si>
    <t>No level surveys have been provided so all excavation quantities are provisional</t>
  </si>
  <si>
    <t>RAINWATER GOODS - UPVC</t>
  </si>
  <si>
    <t>Prices exclude VAT</t>
  </si>
  <si>
    <t>Any items not mentioned within this estimate have been specifically excluded and will be subject to further costs</t>
  </si>
  <si>
    <t xml:space="preserve">Drainage works are provisional sum as a full site survey will be required </t>
  </si>
  <si>
    <t>Connection into existing drainage is provisional sum</t>
  </si>
  <si>
    <t>Making good areas are subject to re-measure</t>
  </si>
  <si>
    <t>All M&amp;E is assumed and to be confirmed by client and specialist (Provisional Sum)</t>
  </si>
  <si>
    <t>All excavations are machine dug, we have not allowed for hand excavation</t>
  </si>
  <si>
    <t>Skips and rubbish removal are provisional quantity and are subject to re-measure</t>
  </si>
  <si>
    <t>Site setup</t>
  </si>
  <si>
    <t>All external works are provisional</t>
  </si>
  <si>
    <t>All finishes have been assumed therefore they are provisional</t>
  </si>
  <si>
    <t>ROOFLIGHTS</t>
  </si>
  <si>
    <t>Width (mm)</t>
  </si>
  <si>
    <t>Height (mm)</t>
  </si>
  <si>
    <t>Length (mm)</t>
  </si>
  <si>
    <t>KG/M</t>
  </si>
  <si>
    <t>BATHROOM WITH A SHOWER AND BATH</t>
  </si>
  <si>
    <t>Cleaning (no allowance for sparkle clean)</t>
  </si>
  <si>
    <t>MARKUP</t>
  </si>
  <si>
    <t>Range 1</t>
  </si>
  <si>
    <t>Yes</t>
  </si>
  <si>
    <t xml:space="preserve">Range 2 </t>
  </si>
  <si>
    <t>Range 3</t>
  </si>
  <si>
    <t>Range 4</t>
  </si>
  <si>
    <t>Range 5</t>
  </si>
  <si>
    <t>Range 6</t>
  </si>
  <si>
    <t>Range 7</t>
  </si>
  <si>
    <t>Range 8</t>
  </si>
  <si>
    <t>Range 9</t>
  </si>
  <si>
    <t xml:space="preserve">Range 10 - Over </t>
  </si>
  <si>
    <t>No</t>
  </si>
  <si>
    <t xml:space="preserve">Provisional sums and PC Sums mentioned within the estimate are subject to re-measure and re-price </t>
  </si>
  <si>
    <t>All quantities are re-measurable and used for indicative purposes only and are subject to re-measure once the project has commenced</t>
  </si>
  <si>
    <t>We have assumed free unfettered access and normal working hours to the site</t>
  </si>
  <si>
    <t xml:space="preserve">There may be some items where alternative specification is used and these may differ to the specification provided </t>
  </si>
  <si>
    <t>External Windows, Doors and Rooflights</t>
  </si>
  <si>
    <t>Structural Steelwork &amp; Timberwork</t>
  </si>
  <si>
    <t>Sub Total</t>
  </si>
  <si>
    <t>INFORMATION USED</t>
  </si>
  <si>
    <t>Building insurance</t>
  </si>
  <si>
    <t>Utility and council tax bills</t>
  </si>
  <si>
    <t>Party Wall costs and complying with conditions</t>
  </si>
  <si>
    <t>Building control and costs</t>
  </si>
  <si>
    <t xml:space="preserve">Structural engineers' and building regulation details </t>
  </si>
  <si>
    <t>Any items noted as install only are provisional sums, the install price is subject to change following specification being provided</t>
  </si>
  <si>
    <t>Any items noted as client supply, the client will supply any adhesives or sundries required to get the works complete</t>
  </si>
  <si>
    <t>All electrical points are PC Sum to supply until specification is provided</t>
  </si>
  <si>
    <t>No allowance has been made in this estimate for the following:</t>
  </si>
  <si>
    <t xml:space="preserve">Professional fees </t>
  </si>
  <si>
    <t>Price and design risk</t>
  </si>
  <si>
    <t>Inflation beyond the financial quarter of the date mentioned in this estimate</t>
  </si>
  <si>
    <t>Contaminated ground, high water table, obstructions or build over agreements (services or drainage diversions)</t>
  </si>
  <si>
    <t>Alterations or upgrades for incoming supplies or trenches</t>
  </si>
  <si>
    <t>Tin hat (temporary roof) to the scaffolding</t>
  </si>
  <si>
    <t>Bespoke joinery</t>
  </si>
  <si>
    <t xml:space="preserve">SUMMARY </t>
  </si>
  <si>
    <t>SUB TOTAL</t>
  </si>
  <si>
    <t>TOTAL COST (EXCLUDING VAT)</t>
  </si>
  <si>
    <t>Anticipated Number of Weeks</t>
  </si>
  <si>
    <t>Weeks</t>
  </si>
  <si>
    <t>RATES</t>
  </si>
  <si>
    <t>TOTALS</t>
  </si>
  <si>
    <t>LABOUR</t>
  </si>
  <si>
    <t>MATERIALS</t>
  </si>
  <si>
    <t>Check</t>
  </si>
  <si>
    <t>Contractors Overheads</t>
  </si>
  <si>
    <t>Markup</t>
  </si>
  <si>
    <t>Approx.</t>
  </si>
  <si>
    <t xml:space="preserve">ARCHITRAVES </t>
  </si>
  <si>
    <t>OUTDOOR TAP AND REQUIRED PIPEWORK</t>
  </si>
  <si>
    <t>Outdoor tap, required pipework and all necessary sundries</t>
  </si>
  <si>
    <t>WALL TILING (PROVISIONAL QUANTITY)</t>
  </si>
  <si>
    <t>Calculation</t>
  </si>
  <si>
    <t>Temporary works</t>
  </si>
  <si>
    <t>Skip permits or parking permits</t>
  </si>
  <si>
    <t>The information used in the preparation of this estimate are as listed below:</t>
  </si>
  <si>
    <t>The following items are to be organised and paid for by the client and are excluded from the total cost:</t>
  </si>
  <si>
    <t>All M&amp;E is provisional sum (as no detailed design has been provided) and a detailed design will be required in order to finalise costs</t>
  </si>
  <si>
    <t>The prices are valid for 8 weeks and we assume that works will commence within 12 weeks from the date of this estimate</t>
  </si>
  <si>
    <t>Topographical surveys</t>
  </si>
  <si>
    <t>CCTV drainage surveys</t>
  </si>
  <si>
    <t>Asbestos surveys</t>
  </si>
  <si>
    <t>Specialist surveys</t>
  </si>
  <si>
    <t>All decoration is assumed mid range paint supply, prices do not cover premium paints</t>
  </si>
  <si>
    <t>Floor finishes apart from the ones specified</t>
  </si>
  <si>
    <t>Moving or altering existing services running over or under the site</t>
  </si>
  <si>
    <t>Changes to drawings, design or specification which deviate from the information used as stated below may be subject to further cost</t>
  </si>
  <si>
    <t>Site accommodation</t>
  </si>
  <si>
    <t>Calculation Total</t>
  </si>
  <si>
    <t>Factor</t>
  </si>
  <si>
    <t>Bricklayer</t>
  </si>
  <si>
    <t>Roofer</t>
  </si>
  <si>
    <t>Tiler</t>
  </si>
  <si>
    <t>Carpenter</t>
  </si>
  <si>
    <t>Plasterer</t>
  </si>
  <si>
    <t>Labourer</t>
  </si>
  <si>
    <t>Decorator</t>
  </si>
  <si>
    <t>Plumber</t>
  </si>
  <si>
    <t>Electrician</t>
  </si>
  <si>
    <t>L Markup</t>
  </si>
  <si>
    <t>M Markup</t>
  </si>
  <si>
    <t>L MARKUP</t>
  </si>
  <si>
    <t>M MARKUP</t>
  </si>
  <si>
    <t>General Trade</t>
  </si>
  <si>
    <t>Total Inc Prelims</t>
  </si>
  <si>
    <t>Contractors Markup - Labour</t>
  </si>
  <si>
    <t>Contractors Markup - Materials</t>
  </si>
  <si>
    <t>Trades - Day Rates</t>
  </si>
  <si>
    <t>Kitchens &amp; Bathrooms</t>
  </si>
  <si>
    <t>Structural Steelwork</t>
  </si>
  <si>
    <t>Windows, Doors &amp; Rooflights</t>
  </si>
  <si>
    <t>Document reference:</t>
  </si>
  <si>
    <t>Groundworker</t>
  </si>
  <si>
    <t>UPVC</t>
  </si>
  <si>
    <t>Client Day Rate £</t>
  </si>
  <si>
    <t>Intumescent strip</t>
  </si>
  <si>
    <t>HR91-02-1001</t>
  </si>
  <si>
    <t>HR91-02-1002</t>
  </si>
  <si>
    <t>HR91-02-1003</t>
  </si>
  <si>
    <t>HR91-02-1004</t>
  </si>
  <si>
    <t>HR91-02-1005</t>
  </si>
  <si>
    <t>PHOTOS</t>
  </si>
  <si>
    <t>BELOW GROUND DRAINAGE PIPEWORK</t>
  </si>
  <si>
    <t>Excavate for below ground drainage runs</t>
  </si>
  <si>
    <t>Backfilling with selected fill</t>
  </si>
  <si>
    <t>Extra over for bends and junctions as required (provisional sum)</t>
  </si>
  <si>
    <t>DRAINAGE SUNDRIES</t>
  </si>
  <si>
    <t>Internal foundations</t>
  </si>
  <si>
    <t>Due to a lack of details and specification all item have been assumed and to be confirmed</t>
  </si>
  <si>
    <t>EXTERNAL DOORS</t>
  </si>
  <si>
    <t>Supply of windows, doors and rooflight</t>
  </si>
  <si>
    <t>Supply of internal doors &amp; ironmongery</t>
  </si>
  <si>
    <t>Supply of skirting and architraves</t>
  </si>
  <si>
    <t>Supply single door</t>
  </si>
  <si>
    <t>Supply ironmongery</t>
  </si>
  <si>
    <t>Supply double door</t>
  </si>
  <si>
    <t>Architraves (Install only; client to supply)</t>
  </si>
  <si>
    <t>Skirtings (install only; client to supply)</t>
  </si>
  <si>
    <t>Structural timberwork and steelwork is provisional sum due to the lack of details</t>
  </si>
  <si>
    <t>All internal wall build up has been assumed and to be confirmed</t>
  </si>
  <si>
    <t>BOXING WORKS</t>
  </si>
  <si>
    <t>Boxing in works (Provisional Sum)</t>
  </si>
  <si>
    <t xml:space="preserve">A/C </t>
  </si>
  <si>
    <t>Management</t>
  </si>
  <si>
    <t>Fixtures</t>
  </si>
  <si>
    <t>Install Utility Countertop</t>
  </si>
  <si>
    <t>ALLOWANCES</t>
  </si>
  <si>
    <t>Excavate foundations;</t>
  </si>
  <si>
    <t>Formwork</t>
  </si>
  <si>
    <t>SKIM ON PLASTER BOARD</t>
  </si>
  <si>
    <t>SKIM ON PLASTER</t>
  </si>
  <si>
    <t>FOUNDATION EXCAVATION</t>
  </si>
  <si>
    <t>Install tiles to Bathrooms and ensuite, Supply tiles</t>
  </si>
  <si>
    <t>SINGLE DOOR - Sliding</t>
  </si>
  <si>
    <t>Walls; 3mm skim finish (Including @ Existing Walls)</t>
  </si>
  <si>
    <t>Exterior Door</t>
  </si>
  <si>
    <t>Existing Window To Be Removed</t>
  </si>
  <si>
    <t>BOILER</t>
  </si>
  <si>
    <t>150mm Bed and surround; Shingle</t>
  </si>
  <si>
    <t>Connection into existing (provisional sum)</t>
  </si>
  <si>
    <t>Rainwater pipe connection with below ground drainage</t>
  </si>
  <si>
    <t>FOUL WATER DRAINAGE WORKS</t>
  </si>
  <si>
    <t>Foul water drainage works (If Required)</t>
  </si>
  <si>
    <t>Supply and lay drainage pipework; 100mm UPVC</t>
  </si>
  <si>
    <t>Plumbing Radiators</t>
  </si>
  <si>
    <t>Existing Single Leaf Door To Be Removed</t>
  </si>
  <si>
    <t>Existing Double Leaf Glazed Door To Be Removed</t>
  </si>
  <si>
    <t>Existing Single Leaf Door To Be Removed (Store)</t>
  </si>
  <si>
    <t>Existing Fixture To Be Removed</t>
  </si>
  <si>
    <t>Existing Appliances To Be Removed</t>
  </si>
  <si>
    <t>Existing Bath Accessories To Be Removed</t>
  </si>
  <si>
    <t>Existing Rooflight To Be Removed</t>
  </si>
  <si>
    <t>Existing Manhole Unable To Lift Client Advised Well Positioned</t>
  </si>
  <si>
    <t>Existing Load Bearing Wall To Be Removed</t>
  </si>
  <si>
    <t>Existing Non-Load Bearing Wall To Be Removed</t>
  </si>
  <si>
    <t>Existing Non-Load Bearing Wall To Be Removed (Store)</t>
  </si>
  <si>
    <t>Existing Kitchen Worktop To Be Removed</t>
  </si>
  <si>
    <t>Existing Utility Worktop To Be Removed</t>
  </si>
  <si>
    <t>Existing Floor Finish To Be Removed</t>
  </si>
  <si>
    <t>Existing Pitched Roof Framing, Insulation, Sheathing etc To Be Removed</t>
  </si>
  <si>
    <t>Grubbing Out Existing Foundation Work</t>
  </si>
  <si>
    <t>Existing Kitchen Joinery To Be Removed</t>
  </si>
  <si>
    <t>M</t>
  </si>
  <si>
    <t>Existing Utility Joinery To Be Removed</t>
  </si>
  <si>
    <t>Existing Hall Joinery To Be Removed</t>
  </si>
  <si>
    <t>no</t>
  </si>
  <si>
    <t>Existing Pipework, Fittings, Electrical work &amp; hvac work To Be Removed as Req.</t>
  </si>
  <si>
    <t>(500mmW x 850mmD) Concrete Strip Footing</t>
  </si>
  <si>
    <t>A82 Wire Mesh @ T&amp;B</t>
  </si>
  <si>
    <t>(600mmW x 850mmD) Concrete Strip Footing</t>
  </si>
  <si>
    <t>(600mmW x 800mmD) Concrete Strip Footing</t>
  </si>
  <si>
    <t>(300mmW x 800mmD) Concrete Strip Footing</t>
  </si>
  <si>
    <t>DPC Wall (530mm H)</t>
  </si>
  <si>
    <t>Damp Proof Course</t>
  </si>
  <si>
    <t>102.5mm Brickwork Wall</t>
  </si>
  <si>
    <t>100mm Lean Mix Fill Concrete Cavity</t>
  </si>
  <si>
    <t>100mm Blockwork Wall</t>
  </si>
  <si>
    <t>DPC Wall (600mm H)</t>
  </si>
  <si>
    <t>150mm Lean Mix Fill Concrete Cavity</t>
  </si>
  <si>
    <t>215mm Blockwork Wall</t>
  </si>
  <si>
    <t>DPC Wall (300mm H)</t>
  </si>
  <si>
    <t>DPC Wall (375mm H)</t>
  </si>
  <si>
    <t>FLR-EXT01 - Beam &amp; Block Floor</t>
  </si>
  <si>
    <t>155mm Precast Concrete Beam &amp; Block</t>
  </si>
  <si>
    <t>75mm Traditional Screed (Sand &amp; Cement w/ Fibre Mesh)</t>
  </si>
  <si>
    <t>Polythene Seperation Layer</t>
  </si>
  <si>
    <t>140mm Celotex XR4000 Insulation</t>
  </si>
  <si>
    <t>1200 Gauge DPM Membrane</t>
  </si>
  <si>
    <t>FLR-EXT02 - Existing Concrete Floor</t>
  </si>
  <si>
    <t>100mm Celotex XR4000 Insulation</t>
  </si>
  <si>
    <t>2no. (215mmD x 100mmW) Precast Concrete Lintel</t>
  </si>
  <si>
    <t>STRIP FOOTING</t>
  </si>
  <si>
    <t>FOUNDATION WALL</t>
  </si>
  <si>
    <t>GROUD FLOO RBUILD-UP</t>
  </si>
  <si>
    <t>CONCRETE LINTEL</t>
  </si>
  <si>
    <t>EXTERIOR WALL</t>
  </si>
  <si>
    <t>WL-EXT01 - External Cavity Wall (2600mm H)</t>
  </si>
  <si>
    <t>108mm Cream Facing Imperial Brick</t>
  </si>
  <si>
    <t>150mm DriTherm Cavity Slab 32</t>
  </si>
  <si>
    <t>100mm Medium Desity Blockwork</t>
  </si>
  <si>
    <t>WL-EXT02 - Internal Existing Wall (2350mm H)</t>
  </si>
  <si>
    <t>WL-EXT03 - External Timber Wall (2450mm H)</t>
  </si>
  <si>
    <t>100x50mm Timber Stud Wall @ 600mm Ctrs</t>
  </si>
  <si>
    <t>Timber Head Plate</t>
  </si>
  <si>
    <t>Timber Sole Plate</t>
  </si>
  <si>
    <t>Horizontal Timber Noggings @ 450mm Ctrs</t>
  </si>
  <si>
    <t>90mm Frame Therm Roll 32</t>
  </si>
  <si>
    <t>9mm OSB Sheathing Board</t>
  </si>
  <si>
    <t>1mm Vapour Barrier</t>
  </si>
  <si>
    <t>TIMBER BEAM</t>
  </si>
  <si>
    <t>3no. 150x50 C24 Timber Beam</t>
  </si>
  <si>
    <t>TIMBER POST</t>
  </si>
  <si>
    <t>(150mm x 150mm x 2450mm) External Timber Column</t>
  </si>
  <si>
    <t>ROOF FRAMING</t>
  </si>
  <si>
    <t>147x47mm C24 Timber Flat Roof Joist @ 400mm Ctrs</t>
  </si>
  <si>
    <t>147x47mm C24 Timber Pitched Roof Rafter @ 400mm Ctrs</t>
  </si>
  <si>
    <t>CEILING FRAMING</t>
  </si>
  <si>
    <t>147x47mm C24 Timber Ceiling Joist @ 400mm Ctrs</t>
  </si>
  <si>
    <t>LINTEL</t>
  </si>
  <si>
    <t>(215mmW x 215mmD) Ancon Nexus XI Lintel</t>
  </si>
  <si>
    <t>BSD100 Catnic Lintel</t>
  </si>
  <si>
    <t>CONCRETE PADSTONE</t>
  </si>
  <si>
    <t>(300mmL x 100mmW x 215mmD) Concrete Precast Padstone</t>
  </si>
  <si>
    <t>BRICK PIER</t>
  </si>
  <si>
    <t>(215mmW x 215mmL x 2450mmH) Solid Brick Pier</t>
  </si>
  <si>
    <t>STEEL BEAM</t>
  </si>
  <si>
    <t>152x152x23 UC</t>
  </si>
  <si>
    <t>203x133x30 UB</t>
  </si>
  <si>
    <t>230x102x23 UB</t>
  </si>
  <si>
    <t>2no. 230x102x23 UB</t>
  </si>
  <si>
    <t>STEEL POST</t>
  </si>
  <si>
    <t>90x90x5 SHS</t>
  </si>
  <si>
    <t>RL 01 - Flat Roof Build-Up</t>
  </si>
  <si>
    <t>2mm Standing Seam Roof Finish (Bronze)</t>
  </si>
  <si>
    <t>18mm Plywood Roof Decking</t>
  </si>
  <si>
    <t>150mm Celotex XR4000 Insulation</t>
  </si>
  <si>
    <t>Vapour Control Barrier</t>
  </si>
  <si>
    <t>12mm WBP Plywood</t>
  </si>
  <si>
    <t>40mm Timber Firrings (1:80 Fall)</t>
  </si>
  <si>
    <t>RL 01 - Pitched Roof Build-Up</t>
  </si>
  <si>
    <t>25x38mm Timber SW Battens</t>
  </si>
  <si>
    <t>100mm Loft Roll b/w Joist</t>
  </si>
  <si>
    <t>200mm Loft Roll Over Joist</t>
  </si>
  <si>
    <t>(100mm Dia) Half-Round Gutter w/ Clips</t>
  </si>
  <si>
    <t>(90mm Dia) Downpipe</t>
  </si>
  <si>
    <t>SOFFITS AND FASCIAS</t>
  </si>
  <si>
    <t>Code 4 Lead Flashing @ Rooflight</t>
  </si>
  <si>
    <t>Code 4 Lead Flashing @ Building</t>
  </si>
  <si>
    <t>Interior Door</t>
  </si>
  <si>
    <t>Interior Door (Pocket Door)</t>
  </si>
  <si>
    <t>Interior Door (Double Door)</t>
  </si>
  <si>
    <t>Double Glazed  Roof Light</t>
  </si>
  <si>
    <t>WL-INT01 - Internal Timber Wall (2450mm H)</t>
  </si>
  <si>
    <t>89x38mm Carcass Timber Stud Wall @ 400mm Ctrs</t>
  </si>
  <si>
    <t>50mm Rockwool Acoustic Insulation b/w Stud</t>
  </si>
  <si>
    <t>WL-INT02 - Internal Timber Wall (2450mm H)</t>
  </si>
  <si>
    <t>WL-INT03 - Internal Timber Wall (2450mm H)</t>
  </si>
  <si>
    <t>9mm OSB Sheathing Board On BS</t>
  </si>
  <si>
    <t>WL-EXT04 - External Infill Wall (1500mm H)</t>
  </si>
  <si>
    <t>WL-INT06 - Internal Masonry Wall (2200mm H)</t>
  </si>
  <si>
    <t>150mm Thick Blockwork Wall</t>
  </si>
  <si>
    <t>WL-INT07 - Internal Timber Wall (2450mm H)</t>
  </si>
  <si>
    <t>50x38mm Timber Stud Wall @ 400mm Ctrs</t>
  </si>
  <si>
    <t>30mm Rockwool Acoustic Insulation b/w Stud</t>
  </si>
  <si>
    <t>MASONRY WALL</t>
  </si>
  <si>
    <t>12.5mm 'MR' plasterboard</t>
  </si>
  <si>
    <t>Walls; 2.5mm skim finish (Including @ Existing Walls)</t>
  </si>
  <si>
    <t>WALLBOARD</t>
  </si>
  <si>
    <t>CEILINGBOARD</t>
  </si>
  <si>
    <t>15mm British Gypsum Board</t>
  </si>
  <si>
    <t>15mm British Gypsum Board (Fireline)</t>
  </si>
  <si>
    <t>12.5mm British Gypsum Board (Dot &amp; Dabs)</t>
  </si>
  <si>
    <t>(600mmD x 840mmH x 150mmW) Pull-Out Chopping Boards</t>
  </si>
  <si>
    <t>(600mmD x 2390mmH) Kitchen Full Height Cabinet w/ Shelving System</t>
  </si>
  <si>
    <t>(300mmD x 1575mmH) Kitchen Upper Cabinet w/ 3no. Shelve</t>
  </si>
  <si>
    <t>(300mmD x 1575mmH) Kitchen Upper Cabinet For Fridge &amp; Freezer</t>
  </si>
  <si>
    <t>(300mmD x 785mmH) Kitchen Upper Cabinet w/ 1no. Shelve</t>
  </si>
  <si>
    <t>(600mmD x 490mmH) Kitchen Lower Cabinet</t>
  </si>
  <si>
    <t>(600mmD x 785mmH) Utility Lower Cabinet w/ 1no. Shelve</t>
  </si>
  <si>
    <t>(600mmD x 785mmH) Kitchen Lower Cabinet w/ 1no. Shelve</t>
  </si>
  <si>
    <t>(600mmD x 785mmH) Kitchen Island Lower Cabinet w/ 1no. Shelve</t>
  </si>
  <si>
    <t>(300mm Deep) Open Shelves @ Utility</t>
  </si>
  <si>
    <t>(600mm Deep) Tilted Shoe Shelves</t>
  </si>
  <si>
    <t>(600mm Deep) Open Shelves @ Dressing Room</t>
  </si>
  <si>
    <t>(600mmD x 785mmH) Kitchen Lower Drawers (3no.)</t>
  </si>
  <si>
    <t>(600mmD x 215mmH) Dressing Room Drawers (2no.)</t>
  </si>
  <si>
    <t>(300mm Deep) Outdoor Cupboard</t>
  </si>
  <si>
    <t>(350mm Deep) Cupboard Joinery</t>
  </si>
  <si>
    <t>(450mm Deep) Full Height Storage Cupboard</t>
  </si>
  <si>
    <t>(600mm Deep) Full Height Buil-In Cupbaord</t>
  </si>
  <si>
    <t>(300mm Deep) Cupboard To Be Formed Within Existing Chimney Stack</t>
  </si>
  <si>
    <t>Option A</t>
  </si>
  <si>
    <t>(450mmD x 285mmH) Drawers (2no.)</t>
  </si>
  <si>
    <t>(450mmD x 1690mmH) Full Height Cabinet w/ Shelving System</t>
  </si>
  <si>
    <t>(450mmD x 2600mmL x 1170mmH) Freestanding Timber Bench With Timber Backrest</t>
  </si>
  <si>
    <t>Option B</t>
  </si>
  <si>
    <t>(450mmD x 2750mmL x 400mmH) Freestanding Bench</t>
  </si>
  <si>
    <t>(450mmD x 285mmH) Drawers (5no.) Below Bench</t>
  </si>
  <si>
    <t>Carpet Floor</t>
  </si>
  <si>
    <t>Luxury Vinyl Tile Floor</t>
  </si>
  <si>
    <t>Reuse Existing Flagstone Slab</t>
  </si>
  <si>
    <t>Porcelain Tile Floor</t>
  </si>
  <si>
    <t>Polished Concrete Microtopping (Suitable For Internal &amp; External Use)</t>
  </si>
  <si>
    <t>Kitchen Worktop</t>
  </si>
  <si>
    <t>Dishwasher</t>
  </si>
  <si>
    <t>Fridge</t>
  </si>
  <si>
    <t>Freezer</t>
  </si>
  <si>
    <t>Kitchen Hob</t>
  </si>
  <si>
    <t>Hob Hood</t>
  </si>
  <si>
    <t>Two Bowl Butler Sink</t>
  </si>
  <si>
    <t>Utility Sink</t>
  </si>
  <si>
    <t>Washing Maching</t>
  </si>
  <si>
    <t>Tumble Dryer</t>
  </si>
  <si>
    <t>Water Closet</t>
  </si>
  <si>
    <t>Shower w/ Head, Rail &amp; Mixer</t>
  </si>
  <si>
    <t>(230mmW x 465mmL) Wash Hand Basin</t>
  </si>
  <si>
    <t>(300mmW x 700mmL) Wash Hand Basin</t>
  </si>
  <si>
    <t>(800mmW x 1700mmL) Bath Tub</t>
  </si>
  <si>
    <t>(900mmW x 1200mmL) Shower Tray</t>
  </si>
  <si>
    <t>(800mmW x 1200mmL) Shower Tray</t>
  </si>
  <si>
    <t>(900mmW x 1200mmL) Shower Enclosure</t>
  </si>
  <si>
    <t>(800mmW x 1200mmL) Shower Enclosure</t>
  </si>
  <si>
    <t>Electric Towel Rail (Oil Filled)</t>
  </si>
  <si>
    <t>LIGHTING</t>
  </si>
  <si>
    <t>A - Pendant - Type 1</t>
  </si>
  <si>
    <t>B - Downlight - Type 1</t>
  </si>
  <si>
    <t>C - Directional Downlight - Type 1</t>
  </si>
  <si>
    <t>D - Decorative Wall Light - Type 1</t>
  </si>
  <si>
    <t>H - Interior Floor Uplighter - Type 1</t>
  </si>
  <si>
    <t>K - Pendant - Type 2</t>
  </si>
  <si>
    <t>L - Exterior Floor Uplighter - Type 1</t>
  </si>
  <si>
    <t>Light Over Mirror</t>
  </si>
  <si>
    <t>POWER</t>
  </si>
  <si>
    <t>Shaver Outlet</t>
  </si>
  <si>
    <t>Fused Switched Spur</t>
  </si>
  <si>
    <t>13amp Double Swiched Wall Socket Outlet</t>
  </si>
  <si>
    <t>13amp Single Switched Floor Socket Outlet</t>
  </si>
  <si>
    <t>SWITCHES</t>
  </si>
  <si>
    <t>1-Way Light Switch</t>
  </si>
  <si>
    <t>1-Way Light Switch (PIR)</t>
  </si>
  <si>
    <t>WIRING</t>
  </si>
  <si>
    <t>Wiring</t>
  </si>
  <si>
    <t>Allow for Wiring, Conduits or Other Accessories</t>
  </si>
  <si>
    <t>EXTRACT FAN</t>
  </si>
  <si>
    <t>Extractor Fan 60L/s</t>
  </si>
  <si>
    <t>Ventilation Duct (Size tbc)</t>
  </si>
  <si>
    <t>Proposed Boiler Position</t>
  </si>
  <si>
    <t>Boiler Flue</t>
  </si>
  <si>
    <t>UFH SYSTEM</t>
  </si>
  <si>
    <t>Electric Underfloor Heating System</t>
  </si>
  <si>
    <t>Under Floor Heating System</t>
  </si>
  <si>
    <t>Thermostat</t>
  </si>
  <si>
    <t>RADIATOR</t>
  </si>
  <si>
    <t>Radiator (Size tbc)</t>
  </si>
  <si>
    <t>TRV Valve</t>
  </si>
  <si>
    <t>ELEVATION WORK</t>
  </si>
  <si>
    <t>Door Stone Head</t>
  </si>
  <si>
    <t>Cavity Closers</t>
  </si>
  <si>
    <t>Roof Edge Trim</t>
  </si>
  <si>
    <t>Door Stone Threshold</t>
  </si>
  <si>
    <t>(225mm High) Brick Soldier Course</t>
  </si>
  <si>
    <t>45mm Thick Exterior Glazing Partition (2200mm H)</t>
  </si>
  <si>
    <t>(900mmW x 2200mmH) Single Leaf Glazing Door</t>
  </si>
  <si>
    <t>GLASS WORK</t>
  </si>
  <si>
    <t>PROJECT: Mr &amp; Mrs Hawkes-Cowands House</t>
  </si>
  <si>
    <t>PROPOSED SIDE EXTENSION</t>
  </si>
  <si>
    <t>Allow for Ductwork, Fitting Airdevices &amp; Accessoried</t>
  </si>
  <si>
    <t>TENDER</t>
  </si>
  <si>
    <t>£109.20</t>
  </si>
  <si>
    <t>DATE: 25TH SEPTEMBER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</si>
</sst>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&quot;£&quot;#,##0.00_);\(&quot;£&quot;#,##0.00\)"/>
    <numFmt numFmtId="165" formatCode="_(&quot;£&quot;* #,##0.00_);_(&quot;£&quot;* \(#,##0.00\);_(&quot;£&quot;* &quot;-&quot;??_);_(@_)"/>
    <numFmt numFmtId="166" formatCode="&quot;£&quot;#,##0.00"/>
    <numFmt numFmtId="167" formatCode="\ * #,##0.00\ ;&quot;-&quot;* #,##0.00\ ;\ * &quot;-&quot;??\ "/>
    <numFmt numFmtId="168" formatCode="0.000"/>
  </numFmts>
  <fonts count="6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indexed="36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6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0"/>
      <color rgb="FF0000FF"/>
      <name val="Arial"/>
      <family val="2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4"/>
      <color theme="1"/>
      <name val="Calibri"/>
      <family val="2"/>
      <scheme val="minor"/>
    </font>
    <font>
      <b/>
      <sz val="14"/>
      <color theme="0"/>
      <name val="Arial"/>
      <family val="2"/>
    </font>
    <font>
      <sz val="14"/>
      <name val="Arial"/>
      <family val="2"/>
    </font>
    <font>
      <b/>
      <sz val="12"/>
      <color indexed="8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u/>
      <sz val="14"/>
      <color indexed="8"/>
      <name val="Calibri"/>
      <family val="2"/>
      <scheme val="minor"/>
    </font>
    <font>
      <sz val="14"/>
      <color indexed="8"/>
      <name val="Calibri"/>
      <family val="2"/>
      <scheme val="minor"/>
    </font>
    <font>
      <sz val="14"/>
      <name val="Calibri"/>
      <family val="2"/>
      <scheme val="minor"/>
    </font>
    <font>
      <sz val="14"/>
      <name val="Arial Bold"/>
    </font>
    <font>
      <sz val="14"/>
      <color theme="0"/>
      <name val="Calibri"/>
      <family val="2"/>
      <scheme val="minor"/>
    </font>
    <font>
      <b/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sz val="14"/>
      <color rgb="FFFF0000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4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name val="Calibri"/>
      <family val="2"/>
      <scheme val="minor"/>
    </font>
    <font>
      <b/>
      <sz val="16"/>
      <name val="Calibri"/>
      <family val="2"/>
    </font>
    <font>
      <sz val="12"/>
      <name val="Calibri"/>
      <family val="2"/>
    </font>
    <font>
      <sz val="12"/>
      <color indexed="8"/>
      <name val="Calibri"/>
      <family val="2"/>
    </font>
    <font>
      <b/>
      <sz val="12"/>
      <name val="Calibri"/>
      <family val="2"/>
    </font>
    <font>
      <u/>
      <sz val="14"/>
      <name val="Calibri"/>
      <family val="2"/>
      <scheme val="minor"/>
    </font>
    <font>
      <b/>
      <u/>
      <sz val="12"/>
      <color indexed="8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b/>
      <sz val="12"/>
      <color indexed="9"/>
      <name val="Calibri"/>
      <family val="2"/>
    </font>
    <font>
      <sz val="16"/>
      <name val="Calibri"/>
      <family val="2"/>
      <scheme val="minor"/>
    </font>
    <font>
      <b/>
      <u/>
      <sz val="16"/>
      <name val="Calibri"/>
      <family val="2"/>
      <scheme val="minor"/>
    </font>
    <font>
      <b/>
      <sz val="16"/>
      <color theme="1"/>
      <name val="Calibri"/>
      <family val="2"/>
      <scheme val="minor"/>
    </font>
    <font>
      <i/>
      <sz val="14"/>
      <color theme="1"/>
      <name val="Calibri"/>
      <family val="2"/>
      <scheme val="minor"/>
    </font>
    <font>
      <u/>
      <sz val="12"/>
      <name val="Calibri"/>
      <family val="2"/>
      <scheme val="minor"/>
    </font>
    <font>
      <b/>
      <sz val="14"/>
      <name val="Calibri"/>
      <family val="2"/>
    </font>
    <font>
      <sz val="12"/>
      <color theme="0" tint="-4.9989318521683403E-2"/>
      <name val="Calibri"/>
      <family val="2"/>
    </font>
    <font>
      <b/>
      <sz val="12"/>
      <color theme="0" tint="-4.9989318521683403E-2"/>
      <name val="Calibri"/>
      <family val="2"/>
    </font>
    <font>
      <sz val="12"/>
      <color theme="0" tint="-4.9989318521683403E-2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0000"/>
      <name val="Calibri"/>
      <family val="2"/>
    </font>
    <font>
      <sz val="14"/>
      <color theme="0" tint="-0.249977111117893"/>
      <name val="Calibri"/>
      <family val="2"/>
      <scheme val="minor"/>
    </font>
    <font>
      <sz val="12"/>
      <color theme="0" tint="-0.249977111117893"/>
      <name val="Calibri"/>
      <family val="2"/>
    </font>
    <font>
      <sz val="11"/>
      <color rgb="FF000000"/>
      <name val="Calibri"/>
      <family val="2"/>
    </font>
    <font>
      <sz val="14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</borders>
  <cellStyleXfs count="10">
    <xf numFmtId="0" fontId="0" fillId="0" borderId="0"/>
    <xf numFmtId="43" fontId="1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1" fillId="0" borderId="0"/>
    <xf numFmtId="0" fontId="2" fillId="0" borderId="0"/>
    <xf numFmtId="0" fontId="1" fillId="0" borderId="0"/>
    <xf numFmtId="0" fontId="1" fillId="0" borderId="0"/>
    <xf numFmtId="0" fontId="35" fillId="0" borderId="0" applyNumberFormat="0" applyFill="0" applyBorder="0" applyAlignment="0" applyProtection="0"/>
    <xf numFmtId="0" fontId="1" fillId="0" borderId="0"/>
  </cellStyleXfs>
  <cellXfs count="376">
    <xf numFmtId="0" fontId="0" fillId="0" borderId="0" xfId="0"/>
    <xf numFmtId="0" fontId="1" fillId="0" borderId="0" xfId="4"/>
    <xf numFmtId="0" fontId="1" fillId="0" borderId="0" xfId="4" applyAlignment="1">
      <alignment wrapText="1"/>
    </xf>
    <xf numFmtId="0" fontId="8" fillId="0" borderId="0" xfId="0" applyFont="1"/>
    <xf numFmtId="0" fontId="1" fillId="0" borderId="1" xfId="7" applyBorder="1"/>
    <xf numFmtId="0" fontId="1" fillId="0" borderId="2" xfId="7" applyBorder="1"/>
    <xf numFmtId="0" fontId="1" fillId="0" borderId="3" xfId="7" applyBorder="1"/>
    <xf numFmtId="0" fontId="1" fillId="0" borderId="0" xfId="7"/>
    <xf numFmtId="0" fontId="1" fillId="0" borderId="8" xfId="7" applyBorder="1"/>
    <xf numFmtId="0" fontId="3" fillId="0" borderId="0" xfId="7" applyFont="1"/>
    <xf numFmtId="0" fontId="1" fillId="0" borderId="7" xfId="7" applyBorder="1"/>
    <xf numFmtId="0" fontId="12" fillId="0" borderId="0" xfId="7" applyFont="1"/>
    <xf numFmtId="0" fontId="1" fillId="0" borderId="4" xfId="7" applyBorder="1"/>
    <xf numFmtId="0" fontId="12" fillId="0" borderId="5" xfId="7" applyFont="1" applyBorder="1"/>
    <xf numFmtId="0" fontId="1" fillId="0" borderId="6" xfId="7" applyBorder="1"/>
    <xf numFmtId="0" fontId="13" fillId="0" borderId="8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9" fillId="0" borderId="0" xfId="0" applyFont="1"/>
    <xf numFmtId="0" fontId="5" fillId="0" borderId="0" xfId="7" applyFont="1" applyAlignment="1">
      <alignment horizontal="center" vertical="center" wrapText="1"/>
    </xf>
    <xf numFmtId="0" fontId="4" fillId="0" borderId="0" xfId="7" applyFont="1"/>
    <xf numFmtId="166" fontId="13" fillId="0" borderId="0" xfId="0" applyNumberFormat="1" applyFont="1" applyAlignment="1">
      <alignment horizontal="center"/>
    </xf>
    <xf numFmtId="0" fontId="13" fillId="0" borderId="0" xfId="0" applyFont="1"/>
    <xf numFmtId="0" fontId="15" fillId="0" borderId="0" xfId="0" applyFont="1"/>
    <xf numFmtId="0" fontId="13" fillId="0" borderId="2" xfId="0" applyFont="1" applyBorder="1"/>
    <xf numFmtId="0" fontId="13" fillId="0" borderId="2" xfId="0" applyFont="1" applyBorder="1" applyAlignment="1">
      <alignment horizontal="center"/>
    </xf>
    <xf numFmtId="0" fontId="13" fillId="0" borderId="3" xfId="0" applyFont="1" applyBorder="1" applyAlignment="1">
      <alignment horizontal="center"/>
    </xf>
    <xf numFmtId="0" fontId="13" fillId="0" borderId="7" xfId="0" applyFont="1" applyBorder="1" applyAlignment="1">
      <alignment horizontal="center"/>
    </xf>
    <xf numFmtId="0" fontId="13" fillId="0" borderId="7" xfId="0" applyFont="1" applyBorder="1"/>
    <xf numFmtId="1" fontId="13" fillId="0" borderId="0" xfId="0" applyNumberFormat="1" applyFont="1" applyAlignment="1">
      <alignment horizontal="center"/>
    </xf>
    <xf numFmtId="0" fontId="13" fillId="0" borderId="1" xfId="0" applyFont="1" applyBorder="1" applyAlignment="1">
      <alignment horizontal="center"/>
    </xf>
    <xf numFmtId="1" fontId="13" fillId="0" borderId="2" xfId="0" applyNumberFormat="1" applyFont="1" applyBorder="1" applyAlignment="1">
      <alignment horizontal="center"/>
    </xf>
    <xf numFmtId="2" fontId="13" fillId="0" borderId="2" xfId="0" applyNumberFormat="1" applyFont="1" applyBorder="1" applyAlignment="1">
      <alignment horizontal="center"/>
    </xf>
    <xf numFmtId="2" fontId="13" fillId="0" borderId="0" xfId="0" applyNumberFormat="1" applyFont="1" applyAlignment="1">
      <alignment horizontal="center"/>
    </xf>
    <xf numFmtId="166" fontId="13" fillId="0" borderId="2" xfId="0" applyNumberFormat="1" applyFont="1" applyBorder="1" applyAlignment="1">
      <alignment horizontal="center"/>
    </xf>
    <xf numFmtId="166" fontId="13" fillId="0" borderId="3" xfId="0" applyNumberFormat="1" applyFont="1" applyBorder="1" applyAlignment="1">
      <alignment horizontal="center"/>
    </xf>
    <xf numFmtId="166" fontId="13" fillId="0" borderId="7" xfId="0" applyNumberFormat="1" applyFont="1" applyBorder="1" applyAlignment="1">
      <alignment horizontal="center"/>
    </xf>
    <xf numFmtId="166" fontId="13" fillId="0" borderId="0" xfId="0" applyNumberFormat="1" applyFont="1"/>
    <xf numFmtId="166" fontId="13" fillId="0" borderId="7" xfId="0" applyNumberFormat="1" applyFont="1" applyBorder="1"/>
    <xf numFmtId="0" fontId="16" fillId="0" borderId="0" xfId="0" applyFont="1"/>
    <xf numFmtId="0" fontId="17" fillId="0" borderId="0" xfId="0" applyFont="1"/>
    <xf numFmtId="0" fontId="14" fillId="0" borderId="0" xfId="4" applyFont="1"/>
    <xf numFmtId="0" fontId="14" fillId="0" borderId="0" xfId="4" applyFont="1" applyAlignment="1">
      <alignment wrapText="1"/>
    </xf>
    <xf numFmtId="0" fontId="6" fillId="0" borderId="0" xfId="4" applyFont="1"/>
    <xf numFmtId="0" fontId="14" fillId="0" borderId="0" xfId="4" applyFont="1" applyAlignment="1">
      <alignment horizontal="right"/>
    </xf>
    <xf numFmtId="0" fontId="14" fillId="0" borderId="0" xfId="0" applyFont="1" applyAlignment="1">
      <alignment wrapText="1"/>
    </xf>
    <xf numFmtId="0" fontId="14" fillId="0" borderId="0" xfId="4" applyFont="1" applyAlignment="1">
      <alignment horizontal="left" wrapText="1"/>
    </xf>
    <xf numFmtId="0" fontId="14" fillId="0" borderId="0" xfId="0" applyFont="1" applyAlignment="1">
      <alignment horizontal="left" wrapText="1"/>
    </xf>
    <xf numFmtId="0" fontId="14" fillId="0" borderId="0" xfId="4" quotePrefix="1" applyFont="1" applyAlignment="1">
      <alignment wrapText="1"/>
    </xf>
    <xf numFmtId="166" fontId="16" fillId="0" borderId="0" xfId="0" applyNumberFormat="1" applyFont="1" applyAlignment="1">
      <alignment horizontal="center"/>
    </xf>
    <xf numFmtId="0" fontId="16" fillId="0" borderId="8" xfId="0" applyFont="1" applyBorder="1" applyAlignment="1">
      <alignment horizontal="center"/>
    </xf>
    <xf numFmtId="2" fontId="16" fillId="0" borderId="4" xfId="0" applyNumberFormat="1" applyFont="1" applyBorder="1" applyAlignment="1">
      <alignment horizontal="center"/>
    </xf>
    <xf numFmtId="0" fontId="16" fillId="0" borderId="0" xfId="0" applyFont="1" applyAlignment="1">
      <alignment horizontal="center"/>
    </xf>
    <xf numFmtId="1" fontId="16" fillId="0" borderId="0" xfId="0" applyNumberFormat="1" applyFont="1" applyAlignment="1">
      <alignment horizontal="center"/>
    </xf>
    <xf numFmtId="17" fontId="8" fillId="0" borderId="0" xfId="0" applyNumberFormat="1" applyFont="1"/>
    <xf numFmtId="166" fontId="8" fillId="0" borderId="0" xfId="0" applyNumberFormat="1" applyFont="1" applyAlignment="1">
      <alignment horizontal="center"/>
    </xf>
    <xf numFmtId="0" fontId="13" fillId="0" borderId="0" xfId="0" applyFont="1" applyAlignment="1">
      <alignment horizontal="left"/>
    </xf>
    <xf numFmtId="166" fontId="13" fillId="0" borderId="5" xfId="0" applyNumberFormat="1" applyFont="1" applyBorder="1" applyAlignment="1">
      <alignment horizontal="center"/>
    </xf>
    <xf numFmtId="0" fontId="1" fillId="0" borderId="0" xfId="7" applyAlignment="1">
      <alignment vertical="center"/>
    </xf>
    <xf numFmtId="0" fontId="13" fillId="0" borderId="0" xfId="0" applyFont="1" applyAlignment="1">
      <alignment vertical="center"/>
    </xf>
    <xf numFmtId="166" fontId="16" fillId="0" borderId="8" xfId="0" applyNumberFormat="1" applyFont="1" applyBorder="1" applyAlignment="1">
      <alignment horizontal="center"/>
    </xf>
    <xf numFmtId="4" fontId="16" fillId="0" borderId="0" xfId="0" applyNumberFormat="1" applyFont="1" applyAlignment="1">
      <alignment horizontal="center"/>
    </xf>
    <xf numFmtId="0" fontId="17" fillId="0" borderId="0" xfId="0" applyFont="1" applyAlignment="1">
      <alignment horizontal="center"/>
    </xf>
    <xf numFmtId="166" fontId="17" fillId="0" borderId="0" xfId="0" applyNumberFormat="1" applyFont="1" applyAlignment="1">
      <alignment horizontal="center"/>
    </xf>
    <xf numFmtId="4" fontId="16" fillId="0" borderId="5" xfId="0" applyNumberFormat="1" applyFont="1" applyBorder="1" applyAlignment="1">
      <alignment horizontal="center"/>
    </xf>
    <xf numFmtId="166" fontId="16" fillId="0" borderId="0" xfId="0" applyNumberFormat="1" applyFont="1"/>
    <xf numFmtId="166" fontId="16" fillId="0" borderId="5" xfId="0" applyNumberFormat="1" applyFont="1" applyBorder="1" applyAlignment="1">
      <alignment horizontal="center"/>
    </xf>
    <xf numFmtId="166" fontId="16" fillId="0" borderId="4" xfId="0" applyNumberFormat="1" applyFont="1" applyBorder="1" applyAlignment="1">
      <alignment horizontal="center"/>
    </xf>
    <xf numFmtId="166" fontId="16" fillId="0" borderId="6" xfId="0" applyNumberFormat="1" applyFont="1" applyBorder="1" applyAlignment="1">
      <alignment horizontal="center"/>
    </xf>
    <xf numFmtId="2" fontId="13" fillId="0" borderId="0" xfId="0" applyNumberFormat="1" applyFont="1"/>
    <xf numFmtId="2" fontId="13" fillId="0" borderId="0" xfId="0" applyNumberFormat="1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2" fontId="21" fillId="0" borderId="0" xfId="0" applyNumberFormat="1" applyFont="1" applyAlignment="1">
      <alignment horizontal="center"/>
    </xf>
    <xf numFmtId="166" fontId="14" fillId="0" borderId="0" xfId="0" applyNumberFormat="1" applyFont="1" applyAlignment="1">
      <alignment horizontal="center"/>
    </xf>
    <xf numFmtId="0" fontId="14" fillId="0" borderId="0" xfId="0" applyFont="1"/>
    <xf numFmtId="0" fontId="14" fillId="0" borderId="0" xfId="0" applyFont="1" applyAlignment="1">
      <alignment horizontal="center"/>
    </xf>
    <xf numFmtId="0" fontId="26" fillId="0" borderId="8" xfId="0" applyFont="1" applyBorder="1" applyAlignment="1">
      <alignment horizontal="center"/>
    </xf>
    <xf numFmtId="0" fontId="13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17" fontId="8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31" fillId="0" borderId="0" xfId="0" applyFont="1"/>
    <xf numFmtId="166" fontId="13" fillId="0" borderId="8" xfId="0" applyNumberFormat="1" applyFont="1" applyBorder="1" applyAlignment="1">
      <alignment vertical="center" wrapText="1"/>
    </xf>
    <xf numFmtId="166" fontId="14" fillId="0" borderId="2" xfId="0" applyNumberFormat="1" applyFont="1" applyBorder="1" applyAlignment="1">
      <alignment horizontal="center"/>
    </xf>
    <xf numFmtId="166" fontId="14" fillId="0" borderId="0" xfId="0" applyNumberFormat="1" applyFont="1"/>
    <xf numFmtId="2" fontId="13" fillId="0" borderId="0" xfId="0" applyNumberFormat="1" applyFont="1" applyAlignment="1">
      <alignment horizontal="left"/>
    </xf>
    <xf numFmtId="2" fontId="35" fillId="0" borderId="0" xfId="8" applyNumberFormat="1" applyFill="1" applyAlignment="1">
      <alignment horizontal="left"/>
    </xf>
    <xf numFmtId="166" fontId="13" fillId="0" borderId="8" xfId="0" applyNumberFormat="1" applyFont="1" applyBorder="1" applyAlignment="1">
      <alignment horizontal="center" wrapText="1"/>
    </xf>
    <xf numFmtId="2" fontId="38" fillId="0" borderId="0" xfId="7" applyNumberFormat="1" applyFont="1" applyAlignment="1">
      <alignment horizontal="center"/>
    </xf>
    <xf numFmtId="166" fontId="38" fillId="0" borderId="7" xfId="7" applyNumberFormat="1" applyFont="1" applyBorder="1" applyAlignment="1">
      <alignment horizontal="center"/>
    </xf>
    <xf numFmtId="166" fontId="38" fillId="0" borderId="6" xfId="7" applyNumberFormat="1" applyFont="1" applyBorder="1" applyAlignment="1">
      <alignment horizontal="center"/>
    </xf>
    <xf numFmtId="166" fontId="38" fillId="0" borderId="0" xfId="7" applyNumberFormat="1" applyFont="1"/>
    <xf numFmtId="0" fontId="38" fillId="0" borderId="0" xfId="7" applyFont="1"/>
    <xf numFmtId="166" fontId="38" fillId="0" borderId="0" xfId="7" applyNumberFormat="1" applyFont="1" applyAlignment="1">
      <alignment horizontal="center"/>
    </xf>
    <xf numFmtId="0" fontId="14" fillId="0" borderId="0" xfId="4" applyFont="1" applyAlignment="1">
      <alignment horizontal="center" vertical="top"/>
    </xf>
    <xf numFmtId="0" fontId="13" fillId="0" borderId="0" xfId="0" applyFont="1" applyAlignment="1">
      <alignment wrapText="1"/>
    </xf>
    <xf numFmtId="0" fontId="14" fillId="0" borderId="0" xfId="4" applyFont="1" applyAlignment="1">
      <alignment horizontal="center" vertical="center"/>
    </xf>
    <xf numFmtId="2" fontId="14" fillId="0" borderId="0" xfId="4" applyNumberFormat="1" applyFont="1" applyAlignment="1">
      <alignment horizontal="center" vertical="top"/>
    </xf>
    <xf numFmtId="0" fontId="1" fillId="0" borderId="0" xfId="4" applyAlignment="1">
      <alignment vertical="center"/>
    </xf>
    <xf numFmtId="2" fontId="14" fillId="0" borderId="0" xfId="4" applyNumberFormat="1" applyFont="1" applyAlignment="1">
      <alignment horizontal="center" vertical="center"/>
    </xf>
    <xf numFmtId="166" fontId="13" fillId="0" borderId="0" xfId="0" applyNumberFormat="1" applyFont="1" applyAlignment="1">
      <alignment vertical="center" wrapText="1"/>
    </xf>
    <xf numFmtId="0" fontId="27" fillId="0" borderId="0" xfId="4" applyFont="1"/>
    <xf numFmtId="0" fontId="41" fillId="0" borderId="0" xfId="4" applyFont="1" applyAlignment="1">
      <alignment wrapText="1"/>
    </xf>
    <xf numFmtId="0" fontId="36" fillId="2" borderId="9" xfId="4" applyFont="1" applyFill="1" applyBorder="1" applyAlignment="1">
      <alignment vertical="center" wrapText="1"/>
    </xf>
    <xf numFmtId="0" fontId="36" fillId="2" borderId="11" xfId="4" applyFont="1" applyFill="1" applyBorder="1" applyAlignment="1">
      <alignment vertical="center" wrapText="1"/>
    </xf>
    <xf numFmtId="168" fontId="14" fillId="0" borderId="0" xfId="4" applyNumberFormat="1" applyFont="1" applyAlignment="1">
      <alignment horizontal="left" wrapText="1"/>
    </xf>
    <xf numFmtId="17" fontId="17" fillId="0" borderId="0" xfId="0" applyNumberFormat="1" applyFont="1"/>
    <xf numFmtId="0" fontId="17" fillId="2" borderId="9" xfId="4" applyFont="1" applyFill="1" applyBorder="1" applyAlignment="1">
      <alignment horizontal="center" vertical="center" wrapText="1"/>
    </xf>
    <xf numFmtId="0" fontId="17" fillId="2" borderId="11" xfId="4" applyFont="1" applyFill="1" applyBorder="1" applyAlignment="1">
      <alignment vertical="center" wrapText="1"/>
    </xf>
    <xf numFmtId="0" fontId="14" fillId="0" borderId="0" xfId="4" applyFont="1" applyAlignment="1">
      <alignment horizontal="center"/>
    </xf>
    <xf numFmtId="2" fontId="14" fillId="0" borderId="0" xfId="4" applyNumberFormat="1" applyFont="1" applyAlignment="1">
      <alignment horizontal="center"/>
    </xf>
    <xf numFmtId="0" fontId="14" fillId="0" borderId="0" xfId="9" applyFont="1"/>
    <xf numFmtId="0" fontId="42" fillId="0" borderId="0" xfId="7" applyFont="1"/>
    <xf numFmtId="0" fontId="43" fillId="0" borderId="0" xfId="0" applyFont="1"/>
    <xf numFmtId="0" fontId="40" fillId="2" borderId="10" xfId="7" applyFont="1" applyFill="1" applyBorder="1" applyAlignment="1">
      <alignment horizontal="center" vertical="center"/>
    </xf>
    <xf numFmtId="0" fontId="40" fillId="2" borderId="11" xfId="7" applyFont="1" applyFill="1" applyBorder="1" applyAlignment="1">
      <alignment horizontal="center" vertical="center"/>
    </xf>
    <xf numFmtId="0" fontId="44" fillId="0" borderId="8" xfId="0" applyFont="1" applyBorder="1" applyAlignment="1">
      <alignment horizontal="left" indent="2"/>
    </xf>
    <xf numFmtId="0" fontId="44" fillId="0" borderId="8" xfId="0" applyFont="1" applyBorder="1"/>
    <xf numFmtId="0" fontId="40" fillId="2" borderId="9" xfId="7" applyFont="1" applyFill="1" applyBorder="1" applyAlignment="1">
      <alignment vertical="center"/>
    </xf>
    <xf numFmtId="2" fontId="40" fillId="2" borderId="10" xfId="7" applyNumberFormat="1" applyFont="1" applyFill="1" applyBorder="1" applyAlignment="1">
      <alignment horizontal="center" vertical="center"/>
    </xf>
    <xf numFmtId="166" fontId="40" fillId="2" borderId="11" xfId="1" applyNumberFormat="1" applyFont="1" applyFill="1" applyBorder="1" applyAlignment="1">
      <alignment horizontal="center" vertical="center"/>
    </xf>
    <xf numFmtId="166" fontId="38" fillId="0" borderId="0" xfId="7" applyNumberFormat="1" applyFont="1" applyAlignment="1">
      <alignment horizontal="center" vertical="center"/>
    </xf>
    <xf numFmtId="0" fontId="38" fillId="0" borderId="0" xfId="7" applyFont="1" applyAlignment="1">
      <alignment vertical="center"/>
    </xf>
    <xf numFmtId="0" fontId="38" fillId="0" borderId="8" xfId="7" applyFont="1" applyBorder="1"/>
    <xf numFmtId="166" fontId="39" fillId="0" borderId="7" xfId="1" applyNumberFormat="1" applyFont="1" applyBorder="1" applyAlignment="1">
      <alignment horizontal="center"/>
    </xf>
    <xf numFmtId="10" fontId="38" fillId="0" borderId="0" xfId="7" applyNumberFormat="1" applyFont="1" applyAlignment="1">
      <alignment horizontal="center"/>
    </xf>
    <xf numFmtId="0" fontId="40" fillId="2" borderId="9" xfId="7" applyFont="1" applyFill="1" applyBorder="1" applyAlignment="1">
      <alignment vertical="center" wrapText="1"/>
    </xf>
    <xf numFmtId="0" fontId="40" fillId="0" borderId="1" xfId="7" applyFont="1" applyBorder="1" applyAlignment="1">
      <alignment vertical="center" wrapText="1"/>
    </xf>
    <xf numFmtId="2" fontId="40" fillId="0" borderId="2" xfId="7" applyNumberFormat="1" applyFont="1" applyBorder="1" applyAlignment="1">
      <alignment horizontal="center" vertical="center"/>
    </xf>
    <xf numFmtId="166" fontId="40" fillId="0" borderId="3" xfId="1" applyNumberFormat="1" applyFont="1" applyFill="1" applyBorder="1" applyAlignment="1">
      <alignment horizontal="center" vertical="center"/>
    </xf>
    <xf numFmtId="0" fontId="38" fillId="0" borderId="8" xfId="7" applyFont="1" applyBorder="1" applyAlignment="1">
      <alignment horizontal="left" vertical="center" wrapText="1" indent="2"/>
    </xf>
    <xf numFmtId="2" fontId="38" fillId="0" borderId="0" xfId="7" applyNumberFormat="1" applyFont="1" applyAlignment="1">
      <alignment horizontal="center" vertical="center"/>
    </xf>
    <xf numFmtId="166" fontId="38" fillId="0" borderId="7" xfId="1" applyNumberFormat="1" applyFont="1" applyFill="1" applyBorder="1" applyAlignment="1">
      <alignment horizontal="center" vertical="center"/>
    </xf>
    <xf numFmtId="0" fontId="38" fillId="0" borderId="4" xfId="7" applyFont="1" applyBorder="1"/>
    <xf numFmtId="2" fontId="38" fillId="0" borderId="5" xfId="7" applyNumberFormat="1" applyFont="1" applyBorder="1" applyAlignment="1">
      <alignment horizontal="center"/>
    </xf>
    <xf numFmtId="0" fontId="38" fillId="0" borderId="0" xfId="7" applyFont="1" applyAlignment="1">
      <alignment horizontal="left" wrapText="1"/>
    </xf>
    <xf numFmtId="2" fontId="38" fillId="0" borderId="0" xfId="1" applyNumberFormat="1" applyFont="1" applyFill="1" applyBorder="1" applyAlignment="1">
      <alignment horizontal="center"/>
    </xf>
    <xf numFmtId="166" fontId="38" fillId="0" borderId="0" xfId="1" applyNumberFormat="1" applyFont="1" applyFill="1" applyBorder="1" applyAlignment="1">
      <alignment horizontal="center"/>
    </xf>
    <xf numFmtId="0" fontId="38" fillId="0" borderId="0" xfId="7" applyFont="1" applyAlignment="1">
      <alignment wrapText="1"/>
    </xf>
    <xf numFmtId="0" fontId="45" fillId="0" borderId="0" xfId="7" applyFont="1" applyAlignment="1">
      <alignment wrapText="1"/>
    </xf>
    <xf numFmtId="2" fontId="45" fillId="0" borderId="0" xfId="7" applyNumberFormat="1" applyFont="1" applyAlignment="1">
      <alignment horizontal="center" wrapText="1"/>
    </xf>
    <xf numFmtId="166" fontId="45" fillId="0" borderId="0" xfId="1" applyNumberFormat="1" applyFont="1" applyFill="1" applyBorder="1" applyAlignment="1">
      <alignment horizontal="center"/>
    </xf>
    <xf numFmtId="0" fontId="40" fillId="0" borderId="0" xfId="7" applyFont="1" applyAlignment="1">
      <alignment wrapText="1"/>
    </xf>
    <xf numFmtId="2" fontId="45" fillId="0" borderId="0" xfId="7" applyNumberFormat="1" applyFont="1" applyAlignment="1">
      <alignment horizontal="center"/>
    </xf>
    <xf numFmtId="166" fontId="40" fillId="0" borderId="0" xfId="7" applyNumberFormat="1" applyFont="1" applyAlignment="1">
      <alignment horizontal="center"/>
    </xf>
    <xf numFmtId="17" fontId="43" fillId="0" borderId="0" xfId="0" applyNumberFormat="1" applyFont="1"/>
    <xf numFmtId="2" fontId="14" fillId="0" borderId="0" xfId="0" applyNumberFormat="1" applyFont="1" applyAlignment="1">
      <alignment horizontal="center"/>
    </xf>
    <xf numFmtId="2" fontId="16" fillId="0" borderId="0" xfId="0" applyNumberFormat="1" applyFont="1" applyAlignment="1">
      <alignment horizontal="center"/>
    </xf>
    <xf numFmtId="166" fontId="16" fillId="0" borderId="2" xfId="0" applyNumberFormat="1" applyFont="1" applyBorder="1"/>
    <xf numFmtId="0" fontId="16" fillId="0" borderId="2" xfId="0" applyFont="1" applyBorder="1"/>
    <xf numFmtId="2" fontId="17" fillId="0" borderId="0" xfId="0" applyNumberFormat="1" applyFont="1" applyAlignment="1">
      <alignment horizontal="center"/>
    </xf>
    <xf numFmtId="2" fontId="30" fillId="0" borderId="0" xfId="0" applyNumberFormat="1" applyFont="1" applyAlignment="1">
      <alignment horizontal="center"/>
    </xf>
    <xf numFmtId="0" fontId="19" fillId="0" borderId="0" xfId="0" applyFont="1"/>
    <xf numFmtId="0" fontId="16" fillId="0" borderId="0" xfId="0" applyFont="1" applyAlignment="1">
      <alignment horizontal="left" wrapText="1"/>
    </xf>
    <xf numFmtId="0" fontId="16" fillId="0" borderId="0" xfId="0" applyFont="1" applyAlignment="1">
      <alignment wrapText="1"/>
    </xf>
    <xf numFmtId="2" fontId="16" fillId="0" borderId="0" xfId="2" applyNumberFormat="1" applyFont="1" applyBorder="1" applyAlignment="1">
      <alignment horizontal="center"/>
    </xf>
    <xf numFmtId="0" fontId="27" fillId="0" borderId="0" xfId="0" applyFont="1" applyAlignment="1">
      <alignment wrapText="1"/>
    </xf>
    <xf numFmtId="167" fontId="28" fillId="0" borderId="0" xfId="0" applyNumberFormat="1" applyFont="1" applyAlignment="1">
      <alignment wrapText="1"/>
    </xf>
    <xf numFmtId="0" fontId="16" fillId="0" borderId="4" xfId="0" applyFont="1" applyBorder="1" applyAlignment="1">
      <alignment horizontal="center"/>
    </xf>
    <xf numFmtId="167" fontId="20" fillId="0" borderId="5" xfId="0" applyNumberFormat="1" applyFont="1" applyBorder="1" applyAlignment="1">
      <alignment wrapText="1"/>
    </xf>
    <xf numFmtId="2" fontId="16" fillId="0" borderId="5" xfId="0" applyNumberFormat="1" applyFont="1" applyBorder="1" applyAlignment="1">
      <alignment horizontal="center"/>
    </xf>
    <xf numFmtId="0" fontId="23" fillId="0" borderId="0" xfId="0" applyFont="1"/>
    <xf numFmtId="0" fontId="22" fillId="0" borderId="0" xfId="0" applyFont="1" applyAlignment="1">
      <alignment horizontal="left" wrapText="1"/>
    </xf>
    <xf numFmtId="0" fontId="18" fillId="0" borderId="0" xfId="0" applyFont="1" applyAlignment="1">
      <alignment horizontal="left" wrapText="1" indent="2"/>
    </xf>
    <xf numFmtId="0" fontId="16" fillId="0" borderId="0" xfId="0" applyFont="1" applyAlignment="1">
      <alignment vertical="center"/>
    </xf>
    <xf numFmtId="167" fontId="27" fillId="0" borderId="0" xfId="0" applyNumberFormat="1" applyFont="1" applyAlignment="1">
      <alignment wrapText="1"/>
    </xf>
    <xf numFmtId="0" fontId="26" fillId="0" borderId="4" xfId="0" applyFont="1" applyBorder="1" applyAlignment="1">
      <alignment horizontal="center"/>
    </xf>
    <xf numFmtId="167" fontId="27" fillId="0" borderId="5" xfId="0" applyNumberFormat="1" applyFont="1" applyBorder="1" applyAlignment="1">
      <alignment wrapText="1"/>
    </xf>
    <xf numFmtId="1" fontId="16" fillId="0" borderId="5" xfId="0" applyNumberFormat="1" applyFont="1" applyBorder="1" applyAlignment="1">
      <alignment horizontal="center"/>
    </xf>
    <xf numFmtId="0" fontId="22" fillId="0" borderId="0" xfId="0" applyFont="1" applyAlignment="1">
      <alignment wrapText="1"/>
    </xf>
    <xf numFmtId="166" fontId="13" fillId="0" borderId="0" xfId="0" applyNumberFormat="1" applyFont="1" applyAlignment="1">
      <alignment horizontal="left"/>
    </xf>
    <xf numFmtId="0" fontId="22" fillId="0" borderId="0" xfId="0" applyFont="1"/>
    <xf numFmtId="2" fontId="27" fillId="0" borderId="0" xfId="0" applyNumberFormat="1" applyFont="1" applyAlignment="1">
      <alignment horizontal="center"/>
    </xf>
    <xf numFmtId="0" fontId="16" fillId="0" borderId="2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25" fillId="0" borderId="0" xfId="0" applyFont="1" applyAlignment="1">
      <alignment wrapText="1"/>
    </xf>
    <xf numFmtId="0" fontId="34" fillId="0" borderId="0" xfId="0" applyFont="1" applyAlignment="1">
      <alignment horizontal="center" vertical="center" wrapText="1"/>
    </xf>
    <xf numFmtId="0" fontId="33" fillId="0" borderId="0" xfId="0" applyFont="1" applyAlignment="1">
      <alignment horizontal="center" vertical="center"/>
    </xf>
    <xf numFmtId="166" fontId="29" fillId="0" borderId="0" xfId="0" applyNumberFormat="1" applyFont="1" applyAlignment="1">
      <alignment horizontal="center"/>
    </xf>
    <xf numFmtId="0" fontId="16" fillId="0" borderId="0" xfId="0" applyFont="1" applyAlignment="1">
      <alignment horizontal="left"/>
    </xf>
    <xf numFmtId="0" fontId="26" fillId="0" borderId="0" xfId="0" applyFont="1" applyAlignment="1">
      <alignment horizontal="center" vertical="center" wrapText="1"/>
    </xf>
    <xf numFmtId="0" fontId="26" fillId="0" borderId="0" xfId="0" applyFont="1" applyAlignment="1">
      <alignment horizontal="center" vertical="center"/>
    </xf>
    <xf numFmtId="0" fontId="26" fillId="0" borderId="0" xfId="0" applyFont="1" applyAlignment="1">
      <alignment horizontal="left"/>
    </xf>
    <xf numFmtId="0" fontId="16" fillId="0" borderId="0" xfId="0" applyFont="1" applyAlignment="1">
      <alignment horizontal="center" vertical="center" wrapText="1"/>
    </xf>
    <xf numFmtId="167" fontId="27" fillId="0" borderId="0" xfId="0" applyNumberFormat="1" applyFont="1" applyAlignment="1">
      <alignment horizontal="center" vertical="center" wrapText="1"/>
    </xf>
    <xf numFmtId="2" fontId="16" fillId="0" borderId="5" xfId="0" applyNumberFormat="1" applyFont="1" applyBorder="1" applyAlignment="1">
      <alignment horizontal="left"/>
    </xf>
    <xf numFmtId="2" fontId="16" fillId="0" borderId="5" xfId="0" applyNumberFormat="1" applyFont="1" applyBorder="1" applyAlignment="1">
      <alignment horizontal="center" vertical="center"/>
    </xf>
    <xf numFmtId="167" fontId="27" fillId="0" borderId="5" xfId="0" applyNumberFormat="1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/>
    </xf>
    <xf numFmtId="166" fontId="16" fillId="0" borderId="0" xfId="0" applyNumberFormat="1" applyFont="1" applyAlignment="1">
      <alignment horizontal="right"/>
    </xf>
    <xf numFmtId="166" fontId="13" fillId="0" borderId="6" xfId="0" applyNumberFormat="1" applyFont="1" applyBorder="1" applyAlignment="1">
      <alignment horizontal="center"/>
    </xf>
    <xf numFmtId="0" fontId="13" fillId="0" borderId="3" xfId="0" applyFont="1" applyBorder="1"/>
    <xf numFmtId="0" fontId="13" fillId="0" borderId="6" xfId="0" applyFont="1" applyBorder="1"/>
    <xf numFmtId="0" fontId="46" fillId="2" borderId="9" xfId="0" applyFont="1" applyFill="1" applyBorder="1" applyAlignment="1">
      <alignment horizontal="center"/>
    </xf>
    <xf numFmtId="2" fontId="46" fillId="2" borderId="10" xfId="0" applyNumberFormat="1" applyFont="1" applyFill="1" applyBorder="1" applyAlignment="1">
      <alignment horizontal="center"/>
    </xf>
    <xf numFmtId="0" fontId="46" fillId="2" borderId="10" xfId="0" applyFont="1" applyFill="1" applyBorder="1"/>
    <xf numFmtId="166" fontId="14" fillId="2" borderId="10" xfId="0" applyNumberFormat="1" applyFont="1" applyFill="1" applyBorder="1"/>
    <xf numFmtId="0" fontId="47" fillId="2" borderId="10" xfId="0" applyFont="1" applyFill="1" applyBorder="1" applyAlignment="1">
      <alignment horizontal="left" vertical="center"/>
    </xf>
    <xf numFmtId="166" fontId="30" fillId="0" borderId="0" xfId="0" applyNumberFormat="1" applyFont="1" applyAlignment="1">
      <alignment horizontal="center"/>
    </xf>
    <xf numFmtId="166" fontId="38" fillId="0" borderId="8" xfId="7" applyNumberFormat="1" applyFont="1" applyBorder="1" applyAlignment="1">
      <alignment horizontal="center" vertical="center"/>
    </xf>
    <xf numFmtId="166" fontId="38" fillId="0" borderId="7" xfId="7" applyNumberFormat="1" applyFont="1" applyBorder="1" applyAlignment="1">
      <alignment horizontal="center" vertical="center"/>
    </xf>
    <xf numFmtId="166" fontId="14" fillId="2" borderId="11" xfId="0" applyNumberFormat="1" applyFont="1" applyFill="1" applyBorder="1"/>
    <xf numFmtId="166" fontId="16" fillId="0" borderId="7" xfId="0" applyNumberFormat="1" applyFont="1" applyBorder="1"/>
    <xf numFmtId="166" fontId="17" fillId="0" borderId="7" xfId="0" applyNumberFormat="1" applyFont="1" applyBorder="1" applyAlignment="1">
      <alignment horizontal="center"/>
    </xf>
    <xf numFmtId="166" fontId="16" fillId="0" borderId="7" xfId="0" applyNumberFormat="1" applyFont="1" applyBorder="1" applyAlignment="1">
      <alignment horizontal="center"/>
    </xf>
    <xf numFmtId="166" fontId="17" fillId="0" borderId="12" xfId="0" applyNumberFormat="1" applyFont="1" applyBorder="1" applyAlignment="1">
      <alignment horizontal="center"/>
    </xf>
    <xf numFmtId="166" fontId="16" fillId="0" borderId="13" xfId="0" applyNumberFormat="1" applyFont="1" applyBorder="1" applyAlignment="1">
      <alignment horizontal="center"/>
    </xf>
    <xf numFmtId="0" fontId="16" fillId="0" borderId="7" xfId="0" applyFont="1" applyBorder="1"/>
    <xf numFmtId="0" fontId="17" fillId="0" borderId="7" xfId="0" applyFont="1" applyBorder="1" applyAlignment="1">
      <alignment horizontal="center"/>
    </xf>
    <xf numFmtId="0" fontId="16" fillId="0" borderId="8" xfId="0" applyFont="1" applyBorder="1"/>
    <xf numFmtId="0" fontId="17" fillId="0" borderId="8" xfId="0" applyFont="1" applyBorder="1" applyAlignment="1">
      <alignment horizontal="center"/>
    </xf>
    <xf numFmtId="0" fontId="46" fillId="2" borderId="9" xfId="0" applyFont="1" applyFill="1" applyBorder="1" applyAlignment="1">
      <alignment horizontal="center" vertical="center"/>
    </xf>
    <xf numFmtId="0" fontId="47" fillId="2" borderId="10" xfId="0" applyFont="1" applyFill="1" applyBorder="1" applyAlignment="1">
      <alignment vertical="center"/>
    </xf>
    <xf numFmtId="2" fontId="46" fillId="2" borderId="10" xfId="0" applyNumberFormat="1" applyFont="1" applyFill="1" applyBorder="1" applyAlignment="1">
      <alignment horizontal="center" vertical="center"/>
    </xf>
    <xf numFmtId="0" fontId="46" fillId="2" borderId="10" xfId="0" applyFont="1" applyFill="1" applyBorder="1" applyAlignment="1">
      <alignment vertical="center"/>
    </xf>
    <xf numFmtId="166" fontId="14" fillId="2" borderId="10" xfId="0" applyNumberFormat="1" applyFont="1" applyFill="1" applyBorder="1" applyAlignment="1">
      <alignment vertical="center"/>
    </xf>
    <xf numFmtId="1" fontId="46" fillId="2" borderId="10" xfId="0" applyNumberFormat="1" applyFont="1" applyFill="1" applyBorder="1" applyAlignment="1">
      <alignment horizontal="center" vertical="center"/>
    </xf>
    <xf numFmtId="166" fontId="48" fillId="0" borderId="0" xfId="0" applyNumberFormat="1" applyFont="1" applyAlignment="1">
      <alignment horizontal="center"/>
    </xf>
    <xf numFmtId="166" fontId="40" fillId="2" borderId="9" xfId="7" applyNumberFormat="1" applyFont="1" applyFill="1" applyBorder="1" applyAlignment="1">
      <alignment horizontal="center" vertical="center"/>
    </xf>
    <xf numFmtId="166" fontId="13" fillId="0" borderId="8" xfId="0" applyNumberFormat="1" applyFont="1" applyBorder="1" applyAlignment="1">
      <alignment horizontal="center"/>
    </xf>
    <xf numFmtId="166" fontId="13" fillId="0" borderId="4" xfId="0" applyNumberFormat="1" applyFont="1" applyBorder="1" applyAlignment="1">
      <alignment horizontal="center"/>
    </xf>
    <xf numFmtId="166" fontId="14" fillId="2" borderId="11" xfId="0" applyNumberFormat="1" applyFont="1" applyFill="1" applyBorder="1" applyAlignment="1">
      <alignment vertical="center"/>
    </xf>
    <xf numFmtId="166" fontId="31" fillId="0" borderId="0" xfId="0" applyNumberFormat="1" applyFont="1" applyAlignment="1">
      <alignment horizontal="center"/>
    </xf>
    <xf numFmtId="0" fontId="10" fillId="2" borderId="9" xfId="0" applyFont="1" applyFill="1" applyBorder="1" applyAlignment="1">
      <alignment horizontal="center"/>
    </xf>
    <xf numFmtId="0" fontId="11" fillId="2" borderId="10" xfId="0" applyFont="1" applyFill="1" applyBorder="1" applyAlignment="1">
      <alignment vertical="center"/>
    </xf>
    <xf numFmtId="0" fontId="11" fillId="2" borderId="10" xfId="0" applyFont="1" applyFill="1" applyBorder="1" applyAlignment="1">
      <alignment horizontal="center" vertical="center"/>
    </xf>
    <xf numFmtId="2" fontId="10" fillId="2" borderId="10" xfId="0" applyNumberFormat="1" applyFont="1" applyFill="1" applyBorder="1" applyAlignment="1">
      <alignment horizontal="center"/>
    </xf>
    <xf numFmtId="0" fontId="10" fillId="2" borderId="10" xfId="0" applyFont="1" applyFill="1" applyBorder="1"/>
    <xf numFmtId="166" fontId="13" fillId="2" borderId="10" xfId="0" applyNumberFormat="1" applyFont="1" applyFill="1" applyBorder="1"/>
    <xf numFmtId="166" fontId="13" fillId="2" borderId="11" xfId="0" applyNumberFormat="1" applyFont="1" applyFill="1" applyBorder="1"/>
    <xf numFmtId="0" fontId="8" fillId="0" borderId="7" xfId="0" applyFont="1" applyBorder="1" applyAlignment="1">
      <alignment horizontal="center"/>
    </xf>
    <xf numFmtId="166" fontId="29" fillId="0" borderId="7" xfId="0" applyNumberFormat="1" applyFont="1" applyBorder="1" applyAlignment="1">
      <alignment horizontal="center"/>
    </xf>
    <xf numFmtId="0" fontId="13" fillId="0" borderId="5" xfId="0" applyFont="1" applyBorder="1"/>
    <xf numFmtId="0" fontId="16" fillId="0" borderId="2" xfId="0" applyFont="1" applyBorder="1" applyAlignment="1">
      <alignment horizontal="center"/>
    </xf>
    <xf numFmtId="2" fontId="16" fillId="0" borderId="2" xfId="0" applyNumberFormat="1" applyFont="1" applyBorder="1" applyAlignment="1">
      <alignment horizontal="center"/>
    </xf>
    <xf numFmtId="166" fontId="16" fillId="0" borderId="3" xfId="0" applyNumberFormat="1" applyFont="1" applyBorder="1"/>
    <xf numFmtId="0" fontId="49" fillId="0" borderId="0" xfId="0" applyFont="1" applyAlignment="1">
      <alignment horizontal="center" vertical="center"/>
    </xf>
    <xf numFmtId="0" fontId="48" fillId="0" borderId="0" xfId="0" applyFont="1" applyAlignment="1">
      <alignment horizontal="center" vertical="center"/>
    </xf>
    <xf numFmtId="166" fontId="13" fillId="0" borderId="8" xfId="0" applyNumberFormat="1" applyFont="1" applyBorder="1" applyAlignment="1">
      <alignment horizontal="left"/>
    </xf>
    <xf numFmtId="0" fontId="38" fillId="0" borderId="0" xfId="7" applyFont="1" applyAlignment="1">
      <alignment horizontal="center" vertical="center"/>
    </xf>
    <xf numFmtId="0" fontId="38" fillId="0" borderId="7" xfId="7" applyFont="1" applyBorder="1" applyAlignment="1">
      <alignment horizontal="center" vertical="center"/>
    </xf>
    <xf numFmtId="166" fontId="38" fillId="0" borderId="4" xfId="7" applyNumberFormat="1" applyFont="1" applyBorder="1" applyAlignment="1">
      <alignment horizontal="center" vertical="center"/>
    </xf>
    <xf numFmtId="166" fontId="38" fillId="0" borderId="5" xfId="7" applyNumberFormat="1" applyFont="1" applyBorder="1" applyAlignment="1">
      <alignment horizontal="center" vertical="center"/>
    </xf>
    <xf numFmtId="0" fontId="38" fillId="0" borderId="6" xfId="7" applyFont="1" applyBorder="1" applyAlignment="1">
      <alignment horizontal="center" vertical="center"/>
    </xf>
    <xf numFmtId="166" fontId="40" fillId="0" borderId="7" xfId="7" applyNumberFormat="1" applyFont="1" applyBorder="1" applyAlignment="1">
      <alignment horizontal="center" vertical="center"/>
    </xf>
    <xf numFmtId="166" fontId="38" fillId="3" borderId="8" xfId="7" applyNumberFormat="1" applyFont="1" applyFill="1" applyBorder="1" applyAlignment="1">
      <alignment horizontal="center" vertical="center"/>
    </xf>
    <xf numFmtId="166" fontId="38" fillId="4" borderId="0" xfId="7" applyNumberFormat="1" applyFont="1" applyFill="1" applyAlignment="1">
      <alignment horizontal="center" vertical="center"/>
    </xf>
    <xf numFmtId="166" fontId="40" fillId="4" borderId="0" xfId="7" applyNumberFormat="1" applyFont="1" applyFill="1" applyAlignment="1">
      <alignment horizontal="center" vertical="center"/>
    </xf>
    <xf numFmtId="166" fontId="40" fillId="3" borderId="8" xfId="7" applyNumberFormat="1" applyFont="1" applyFill="1" applyBorder="1" applyAlignment="1">
      <alignment horizontal="center" vertical="center"/>
    </xf>
    <xf numFmtId="1" fontId="17" fillId="0" borderId="0" xfId="0" applyNumberFormat="1" applyFont="1" applyAlignment="1">
      <alignment horizontal="center"/>
    </xf>
    <xf numFmtId="0" fontId="26" fillId="0" borderId="0" xfId="0" applyFont="1" applyAlignment="1">
      <alignment wrapText="1"/>
    </xf>
    <xf numFmtId="1" fontId="10" fillId="2" borderId="10" xfId="0" applyNumberFormat="1" applyFont="1" applyFill="1" applyBorder="1" applyAlignment="1">
      <alignment horizontal="center"/>
    </xf>
    <xf numFmtId="0" fontId="13" fillId="2" borderId="11" xfId="0" applyFont="1" applyFill="1" applyBorder="1"/>
    <xf numFmtId="166" fontId="17" fillId="0" borderId="14" xfId="0" applyNumberFormat="1" applyFont="1" applyBorder="1" applyAlignment="1">
      <alignment horizontal="center"/>
    </xf>
    <xf numFmtId="166" fontId="17" fillId="0" borderId="15" xfId="0" applyNumberFormat="1" applyFont="1" applyBorder="1" applyAlignment="1">
      <alignment horizontal="center"/>
    </xf>
    <xf numFmtId="0" fontId="13" fillId="0" borderId="16" xfId="0" applyFont="1" applyBorder="1"/>
    <xf numFmtId="166" fontId="16" fillId="0" borderId="8" xfId="0" applyNumberFormat="1" applyFont="1" applyBorder="1"/>
    <xf numFmtId="166" fontId="17" fillId="0" borderId="8" xfId="0" applyNumberFormat="1" applyFont="1" applyBorder="1" applyAlignment="1">
      <alignment horizontal="center"/>
    </xf>
    <xf numFmtId="166" fontId="27" fillId="0" borderId="0" xfId="0" applyNumberFormat="1" applyFont="1"/>
    <xf numFmtId="166" fontId="13" fillId="0" borderId="1" xfId="0" applyNumberFormat="1" applyFont="1" applyBorder="1"/>
    <xf numFmtId="166" fontId="8" fillId="0" borderId="8" xfId="0" applyNumberFormat="1" applyFont="1" applyBorder="1" applyAlignment="1">
      <alignment horizontal="center"/>
    </xf>
    <xf numFmtId="166" fontId="13" fillId="0" borderId="2" xfId="0" applyNumberFormat="1" applyFont="1" applyBorder="1"/>
    <xf numFmtId="166" fontId="16" fillId="0" borderId="8" xfId="0" applyNumberFormat="1" applyFont="1" applyBorder="1" applyAlignment="1">
      <alignment horizontal="left" vertical="top"/>
    </xf>
    <xf numFmtId="0" fontId="50" fillId="0" borderId="0" xfId="4" applyFont="1" applyAlignment="1">
      <alignment wrapText="1"/>
    </xf>
    <xf numFmtId="2" fontId="8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166" fontId="8" fillId="0" borderId="7" xfId="0" applyNumberFormat="1" applyFont="1" applyBorder="1" applyAlignment="1">
      <alignment horizontal="center"/>
    </xf>
    <xf numFmtId="166" fontId="40" fillId="0" borderId="0" xfId="7" applyNumberFormat="1" applyFont="1" applyAlignment="1">
      <alignment horizontal="center" vertical="center"/>
    </xf>
    <xf numFmtId="0" fontId="40" fillId="0" borderId="7" xfId="7" applyFont="1" applyBorder="1" applyAlignment="1">
      <alignment horizontal="center" vertical="center"/>
    </xf>
    <xf numFmtId="0" fontId="38" fillId="0" borderId="5" xfId="7" applyFont="1" applyBorder="1" applyAlignment="1">
      <alignment horizontal="center" vertical="center"/>
    </xf>
    <xf numFmtId="0" fontId="32" fillId="0" borderId="0" xfId="0" applyFont="1" applyAlignment="1">
      <alignment horizontal="left" vertical="top"/>
    </xf>
    <xf numFmtId="2" fontId="54" fillId="0" borderId="0" xfId="0" applyNumberFormat="1" applyFont="1" applyAlignment="1">
      <alignment horizontal="center" vertical="center"/>
    </xf>
    <xf numFmtId="0" fontId="0" fillId="0" borderId="0" xfId="0" applyProtection="1">
      <protection locked="0"/>
    </xf>
    <xf numFmtId="0" fontId="37" fillId="2" borderId="9" xfId="7" applyFont="1" applyFill="1" applyBorder="1" applyAlignment="1" applyProtection="1">
      <alignment horizontal="center" vertical="center"/>
      <protection locked="0"/>
    </xf>
    <xf numFmtId="0" fontId="37" fillId="2" borderId="10" xfId="7" applyFont="1" applyFill="1" applyBorder="1" applyAlignment="1" applyProtection="1">
      <alignment horizontal="center" vertical="center"/>
      <protection locked="0"/>
    </xf>
    <xf numFmtId="0" fontId="37" fillId="2" borderId="11" xfId="7" applyFont="1" applyFill="1" applyBorder="1" applyAlignment="1" applyProtection="1">
      <alignment horizontal="center" vertical="center"/>
      <protection locked="0"/>
    </xf>
    <xf numFmtId="0" fontId="51" fillId="0" borderId="8" xfId="0" applyFont="1" applyBorder="1" applyProtection="1">
      <protection locked="0"/>
    </xf>
    <xf numFmtId="2" fontId="38" fillId="0" borderId="0" xfId="7" applyNumberFormat="1" applyFont="1" applyAlignment="1" applyProtection="1">
      <alignment horizontal="center"/>
      <protection locked="0"/>
    </xf>
    <xf numFmtId="0" fontId="52" fillId="0" borderId="0" xfId="7" applyFont="1" applyAlignment="1" applyProtection="1">
      <alignment horizontal="center"/>
      <protection locked="0"/>
    </xf>
    <xf numFmtId="2" fontId="38" fillId="0" borderId="0" xfId="1" applyNumberFormat="1" applyFont="1" applyBorder="1" applyAlignment="1" applyProtection="1">
      <alignment horizontal="center"/>
      <protection locked="0"/>
    </xf>
    <xf numFmtId="166" fontId="38" fillId="0" borderId="7" xfId="7" applyNumberFormat="1" applyFont="1" applyBorder="1" applyAlignment="1" applyProtection="1">
      <alignment horizontal="center"/>
      <protection locked="0"/>
    </xf>
    <xf numFmtId="0" fontId="40" fillId="2" borderId="8" xfId="7" applyFont="1" applyFill="1" applyBorder="1" applyAlignment="1" applyProtection="1">
      <alignment vertical="center"/>
      <protection locked="0"/>
    </xf>
    <xf numFmtId="10" fontId="40" fillId="2" borderId="0" xfId="7" applyNumberFormat="1" applyFont="1" applyFill="1" applyAlignment="1" applyProtection="1">
      <alignment horizontal="center"/>
      <protection locked="0"/>
    </xf>
    <xf numFmtId="2" fontId="53" fillId="2" borderId="0" xfId="7" applyNumberFormat="1" applyFont="1" applyFill="1" applyAlignment="1" applyProtection="1">
      <alignment horizontal="center"/>
      <protection locked="0"/>
    </xf>
    <xf numFmtId="2" fontId="38" fillId="2" borderId="0" xfId="1" applyNumberFormat="1" applyFont="1" applyFill="1" applyBorder="1" applyAlignment="1" applyProtection="1">
      <alignment horizontal="center"/>
      <protection locked="0"/>
    </xf>
    <xf numFmtId="166" fontId="38" fillId="2" borderId="7" xfId="7" applyNumberFormat="1" applyFont="1" applyFill="1" applyBorder="1" applyAlignment="1" applyProtection="1">
      <alignment horizontal="center"/>
      <protection locked="0"/>
    </xf>
    <xf numFmtId="0" fontId="40" fillId="0" borderId="8" xfId="7" applyFont="1" applyBorder="1" applyAlignment="1" applyProtection="1">
      <alignment vertical="center"/>
      <protection locked="0"/>
    </xf>
    <xf numFmtId="10" fontId="40" fillId="0" borderId="0" xfId="7" applyNumberFormat="1" applyFont="1" applyAlignment="1" applyProtection="1">
      <alignment horizontal="center"/>
      <protection locked="0"/>
    </xf>
    <xf numFmtId="0" fontId="53" fillId="0" borderId="0" xfId="7" applyFont="1" applyAlignment="1" applyProtection="1">
      <alignment horizontal="center"/>
      <protection locked="0"/>
    </xf>
    <xf numFmtId="2" fontId="40" fillId="0" borderId="0" xfId="1" applyNumberFormat="1" applyFont="1" applyFill="1" applyBorder="1" applyAlignment="1" applyProtection="1">
      <alignment horizontal="center"/>
      <protection locked="0"/>
    </xf>
    <xf numFmtId="0" fontId="13" fillId="0" borderId="0" xfId="0" applyFont="1" applyAlignment="1" applyProtection="1">
      <alignment horizontal="center"/>
      <protection locked="0"/>
    </xf>
    <xf numFmtId="2" fontId="38" fillId="0" borderId="0" xfId="1" applyNumberFormat="1" applyFont="1" applyFill="1" applyBorder="1" applyAlignment="1" applyProtection="1">
      <alignment horizontal="center"/>
      <protection locked="0"/>
    </xf>
    <xf numFmtId="0" fontId="40" fillId="2" borderId="4" xfId="7" applyFont="1" applyFill="1" applyBorder="1" applyAlignment="1" applyProtection="1">
      <alignment vertical="center"/>
      <protection locked="0"/>
    </xf>
    <xf numFmtId="10" fontId="40" fillId="2" borderId="5" xfId="7" applyNumberFormat="1" applyFont="1" applyFill="1" applyBorder="1" applyAlignment="1" applyProtection="1">
      <alignment horizontal="center"/>
      <protection locked="0"/>
    </xf>
    <xf numFmtId="2" fontId="53" fillId="2" borderId="5" xfId="7" applyNumberFormat="1" applyFont="1" applyFill="1" applyBorder="1" applyAlignment="1" applyProtection="1">
      <alignment horizontal="center"/>
      <protection locked="0"/>
    </xf>
    <xf numFmtId="2" fontId="38" fillId="2" borderId="5" xfId="1" applyNumberFormat="1" applyFont="1" applyFill="1" applyBorder="1" applyAlignment="1" applyProtection="1">
      <alignment horizontal="center"/>
      <protection locked="0"/>
    </xf>
    <xf numFmtId="166" fontId="38" fillId="2" borderId="6" xfId="7" applyNumberFormat="1" applyFont="1" applyFill="1" applyBorder="1" applyAlignment="1" applyProtection="1">
      <alignment horizontal="center"/>
      <protection locked="0"/>
    </xf>
    <xf numFmtId="0" fontId="8" fillId="2" borderId="9" xfId="0" applyFont="1" applyFill="1" applyBorder="1" applyProtection="1">
      <protection locked="0"/>
    </xf>
    <xf numFmtId="166" fontId="8" fillId="2" borderId="11" xfId="0" applyNumberFormat="1" applyFont="1" applyFill="1" applyBorder="1" applyAlignment="1" applyProtection="1">
      <alignment horizontal="center"/>
      <protection locked="0"/>
    </xf>
    <xf numFmtId="1" fontId="13" fillId="2" borderId="8" xfId="0" applyNumberFormat="1" applyFont="1" applyFill="1" applyBorder="1" applyProtection="1">
      <protection locked="0"/>
    </xf>
    <xf numFmtId="165" fontId="16" fillId="2" borderId="7" xfId="0" applyNumberFormat="1" applyFont="1" applyFill="1" applyBorder="1" applyAlignment="1" applyProtection="1">
      <alignment horizontal="center"/>
      <protection locked="0"/>
    </xf>
    <xf numFmtId="1" fontId="13" fillId="0" borderId="8" xfId="0" applyNumberFormat="1" applyFont="1" applyBorder="1" applyProtection="1">
      <protection locked="0"/>
    </xf>
    <xf numFmtId="165" fontId="16" fillId="5" borderId="7" xfId="0" applyNumberFormat="1" applyFont="1" applyFill="1" applyBorder="1" applyAlignment="1" applyProtection="1">
      <alignment horizontal="center"/>
      <protection locked="0"/>
    </xf>
    <xf numFmtId="0" fontId="13" fillId="0" borderId="8" xfId="0" applyFont="1" applyBorder="1" applyProtection="1">
      <protection locked="0"/>
    </xf>
    <xf numFmtId="1" fontId="13" fillId="2" borderId="4" xfId="0" applyNumberFormat="1" applyFont="1" applyFill="1" applyBorder="1" applyProtection="1">
      <protection locked="0"/>
    </xf>
    <xf numFmtId="165" fontId="16" fillId="2" borderId="6" xfId="0" applyNumberFormat="1" applyFont="1" applyFill="1" applyBorder="1" applyAlignment="1" applyProtection="1">
      <alignment horizontal="center"/>
      <protection locked="0"/>
    </xf>
    <xf numFmtId="0" fontId="13" fillId="0" borderId="0" xfId="0" applyFont="1" applyAlignment="1" applyProtection="1">
      <alignment horizontal="right"/>
      <protection locked="0"/>
    </xf>
    <xf numFmtId="166" fontId="13" fillId="0" borderId="0" xfId="0" applyNumberFormat="1" applyFont="1" applyAlignment="1" applyProtection="1">
      <alignment horizontal="center"/>
      <protection locked="0"/>
    </xf>
    <xf numFmtId="0" fontId="13" fillId="0" borderId="0" xfId="0" applyFont="1" applyProtection="1">
      <protection locked="0"/>
    </xf>
    <xf numFmtId="1" fontId="13" fillId="0" borderId="0" xfId="0" applyNumberFormat="1" applyFont="1" applyAlignment="1" applyProtection="1">
      <alignment horizontal="center"/>
      <protection locked="0"/>
    </xf>
    <xf numFmtId="0" fontId="31" fillId="0" borderId="0" xfId="0" applyFont="1" applyAlignment="1" applyProtection="1">
      <alignment wrapText="1"/>
      <protection locked="0"/>
    </xf>
    <xf numFmtId="0" fontId="31" fillId="0" borderId="0" xfId="0" applyFont="1" applyProtection="1">
      <protection locked="0"/>
    </xf>
    <xf numFmtId="0" fontId="55" fillId="0" borderId="0" xfId="0" applyFont="1" applyProtection="1">
      <protection locked="0"/>
    </xf>
    <xf numFmtId="0" fontId="32" fillId="0" borderId="0" xfId="0" applyFont="1" applyAlignment="1" applyProtection="1">
      <alignment horizontal="center"/>
      <protection locked="0"/>
    </xf>
    <xf numFmtId="0" fontId="55" fillId="0" borderId="0" xfId="0" applyFont="1" applyAlignment="1" applyProtection="1">
      <alignment horizontal="center"/>
      <protection locked="0"/>
    </xf>
    <xf numFmtId="1" fontId="31" fillId="0" borderId="0" xfId="0" applyNumberFormat="1" applyFont="1" applyAlignment="1" applyProtection="1">
      <alignment horizontal="center"/>
      <protection locked="0"/>
    </xf>
    <xf numFmtId="166" fontId="31" fillId="0" borderId="0" xfId="0" applyNumberFormat="1" applyFont="1" applyAlignment="1" applyProtection="1">
      <alignment horizontal="center"/>
      <protection locked="0"/>
    </xf>
    <xf numFmtId="0" fontId="31" fillId="0" borderId="0" xfId="0" applyFont="1" applyAlignment="1" applyProtection="1">
      <alignment horizontal="center"/>
      <protection locked="0"/>
    </xf>
    <xf numFmtId="166" fontId="60" fillId="0" borderId="0" xfId="7" applyNumberFormat="1" applyFont="1" applyProtection="1">
      <protection locked="0"/>
    </xf>
    <xf numFmtId="0" fontId="60" fillId="0" borderId="0" xfId="7" applyFont="1" applyProtection="1">
      <protection locked="0"/>
    </xf>
    <xf numFmtId="0" fontId="60" fillId="0" borderId="0" xfId="7" applyFont="1" applyAlignment="1" applyProtection="1">
      <alignment horizontal="center"/>
      <protection locked="0"/>
    </xf>
    <xf numFmtId="0" fontId="61" fillId="0" borderId="0" xfId="0" applyFont="1" applyAlignment="1" applyProtection="1">
      <alignment horizontal="center"/>
      <protection locked="0"/>
    </xf>
    <xf numFmtId="166" fontId="62" fillId="0" borderId="0" xfId="7" applyNumberFormat="1" applyFont="1" applyProtection="1">
      <protection locked="0"/>
    </xf>
    <xf numFmtId="0" fontId="62" fillId="0" borderId="0" xfId="7" applyFont="1" applyProtection="1">
      <protection locked="0"/>
    </xf>
    <xf numFmtId="166" fontId="60" fillId="0" borderId="0" xfId="7" applyNumberFormat="1" applyFont="1" applyAlignment="1" applyProtection="1">
      <alignment horizontal="center"/>
      <protection locked="0"/>
    </xf>
    <xf numFmtId="0" fontId="56" fillId="0" borderId="0" xfId="0" applyFont="1"/>
    <xf numFmtId="166" fontId="57" fillId="0" borderId="0" xfId="7" applyNumberFormat="1" applyFont="1" applyAlignment="1">
      <alignment horizontal="center"/>
    </xf>
    <xf numFmtId="0" fontId="57" fillId="0" borderId="0" xfId="7" applyFont="1"/>
    <xf numFmtId="166" fontId="57" fillId="0" borderId="0" xfId="7" applyNumberFormat="1" applyFont="1"/>
    <xf numFmtId="0" fontId="56" fillId="0" borderId="0" xfId="0" applyFont="1" applyAlignment="1">
      <alignment horizontal="center"/>
    </xf>
    <xf numFmtId="0" fontId="57" fillId="0" borderId="0" xfId="7" applyFont="1" applyAlignment="1">
      <alignment horizontal="center"/>
    </xf>
    <xf numFmtId="166" fontId="58" fillId="0" borderId="0" xfId="0" applyNumberFormat="1" applyFont="1" applyAlignment="1">
      <alignment horizontal="center"/>
    </xf>
    <xf numFmtId="2" fontId="59" fillId="0" borderId="0" xfId="0" applyNumberFormat="1" applyFont="1" applyAlignment="1">
      <alignment horizontal="center"/>
    </xf>
    <xf numFmtId="0" fontId="55" fillId="0" borderId="0" xfId="0" applyFont="1"/>
    <xf numFmtId="164" fontId="13" fillId="0" borderId="0" xfId="0" applyNumberFormat="1" applyFont="1"/>
    <xf numFmtId="0" fontId="26" fillId="0" borderId="8" xfId="0" applyFont="1" applyBorder="1" applyAlignment="1">
      <alignment horizontal="center" vertical="center"/>
    </xf>
    <xf numFmtId="0" fontId="16" fillId="0" borderId="0" xfId="0" applyFont="1" applyAlignment="1">
      <alignment vertical="center" wrapText="1"/>
    </xf>
    <xf numFmtId="2" fontId="16" fillId="0" borderId="0" xfId="0" applyNumberFormat="1" applyFont="1" applyAlignment="1">
      <alignment horizontal="center" vertical="center"/>
    </xf>
    <xf numFmtId="166" fontId="16" fillId="0" borderId="0" xfId="0" applyNumberFormat="1" applyFont="1" applyAlignment="1">
      <alignment horizontal="center" vertical="center"/>
    </xf>
    <xf numFmtId="166" fontId="16" fillId="0" borderId="7" xfId="0" applyNumberFormat="1" applyFont="1" applyBorder="1" applyAlignment="1">
      <alignment horizontal="center" vertical="center"/>
    </xf>
    <xf numFmtId="166" fontId="16" fillId="0" borderId="8" xfId="0" applyNumberFormat="1" applyFont="1" applyBorder="1" applyAlignment="1">
      <alignment horizontal="center" vertical="center"/>
    </xf>
    <xf numFmtId="166" fontId="13" fillId="0" borderId="0" xfId="0" applyNumberFormat="1" applyFont="1" applyAlignment="1">
      <alignment horizontal="center" vertical="center"/>
    </xf>
    <xf numFmtId="166" fontId="13" fillId="0" borderId="0" xfId="0" applyNumberFormat="1" applyFont="1" applyAlignment="1">
      <alignment vertical="center"/>
    </xf>
    <xf numFmtId="166" fontId="14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center"/>
    </xf>
    <xf numFmtId="0" fontId="22" fillId="0" borderId="0" xfId="0" applyFont="1" applyAlignment="1">
      <alignment vertical="center" wrapText="1"/>
    </xf>
    <xf numFmtId="0" fontId="13" fillId="0" borderId="8" xfId="0" applyFont="1" applyBorder="1"/>
    <xf numFmtId="0" fontId="32" fillId="0" borderId="0" xfId="0" applyFont="1" applyAlignment="1">
      <alignment horizontal="center" wrapText="1"/>
    </xf>
    <xf numFmtId="166" fontId="13" fillId="0" borderId="0" xfId="0" applyNumberFormat="1" applyFont="1" applyAlignment="1">
      <alignment horizontal="center" wrapText="1"/>
    </xf>
    <xf numFmtId="166" fontId="16" fillId="0" borderId="0" xfId="0" applyNumberFormat="1" applyFont="1" applyAlignment="1">
      <alignment horizontal="left" vertical="top"/>
    </xf>
    <xf numFmtId="0" fontId="36" fillId="0" borderId="0" xfId="0" applyFont="1" applyAlignment="1">
      <alignment wrapText="1"/>
    </xf>
    <xf numFmtId="0" fontId="17" fillId="0" borderId="0" xfId="0" applyFont="1" applyAlignment="1">
      <alignment wrapText="1"/>
    </xf>
    <xf numFmtId="0" fontId="24" fillId="0" borderId="0" xfId="0" applyFont="1" applyAlignment="1">
      <alignment horizontal="left" wrapText="1"/>
    </xf>
    <xf numFmtId="166" fontId="64" fillId="0" borderId="7" xfId="0" applyNumberFormat="1" applyFont="1" applyBorder="1" applyAlignment="1">
      <alignment horizontal="center"/>
    </xf>
    <xf numFmtId="0" fontId="5" fillId="2" borderId="1" xfId="7" applyFont="1" applyFill="1" applyBorder="1" applyAlignment="1">
      <alignment horizontal="center" vertical="center" wrapText="1"/>
    </xf>
    <xf numFmtId="0" fontId="5" fillId="2" borderId="2" xfId="7" applyFont="1" applyFill="1" applyBorder="1" applyAlignment="1">
      <alignment horizontal="center" vertical="center" wrapText="1"/>
    </xf>
    <xf numFmtId="0" fontId="5" fillId="2" borderId="3" xfId="7" applyFont="1" applyFill="1" applyBorder="1" applyAlignment="1">
      <alignment horizontal="center" vertical="center" wrapText="1"/>
    </xf>
    <xf numFmtId="0" fontId="5" fillId="2" borderId="4" xfId="7" applyFont="1" applyFill="1" applyBorder="1" applyAlignment="1">
      <alignment horizontal="center" vertical="center" wrapText="1"/>
    </xf>
    <xf numFmtId="0" fontId="5" fillId="2" borderId="5" xfId="7" applyFont="1" applyFill="1" applyBorder="1" applyAlignment="1">
      <alignment horizontal="center" vertical="center" wrapText="1"/>
    </xf>
    <xf numFmtId="0" fontId="5" fillId="2" borderId="6" xfId="7" applyFont="1" applyFill="1" applyBorder="1" applyAlignment="1">
      <alignment horizontal="center" vertical="center" wrapText="1"/>
    </xf>
    <xf numFmtId="0" fontId="5" fillId="2" borderId="8" xfId="7" applyFont="1" applyFill="1" applyBorder="1" applyAlignment="1">
      <alignment horizontal="center" vertical="center" wrapText="1"/>
    </xf>
    <xf numFmtId="0" fontId="5" fillId="2" borderId="0" xfId="7" applyFont="1" applyFill="1" applyAlignment="1">
      <alignment horizontal="center" vertical="center" wrapText="1"/>
    </xf>
    <xf numFmtId="0" fontId="5" fillId="2" borderId="7" xfId="7" applyFont="1" applyFill="1" applyBorder="1" applyAlignment="1">
      <alignment horizontal="center" vertical="center" wrapText="1"/>
    </xf>
    <xf numFmtId="17" fontId="5" fillId="2" borderId="1" xfId="7" applyNumberFormat="1" applyFont="1" applyFill="1" applyBorder="1" applyAlignment="1">
      <alignment horizontal="center" vertical="center" wrapText="1"/>
    </xf>
    <xf numFmtId="0" fontId="40" fillId="2" borderId="9" xfId="7" applyFont="1" applyFill="1" applyBorder="1" applyAlignment="1">
      <alignment horizontal="center" vertical="center"/>
    </xf>
    <xf numFmtId="0" fontId="40" fillId="2" borderId="10" xfId="7" applyFont="1" applyFill="1" applyBorder="1" applyAlignment="1">
      <alignment horizontal="center" vertical="center"/>
    </xf>
    <xf numFmtId="0" fontId="40" fillId="2" borderId="11" xfId="7" applyFont="1" applyFill="1" applyBorder="1" applyAlignment="1">
      <alignment horizontal="center" vertical="center"/>
    </xf>
    <xf numFmtId="166" fontId="40" fillId="2" borderId="9" xfId="7" applyNumberFormat="1" applyFont="1" applyFill="1" applyBorder="1" applyAlignment="1">
      <alignment horizontal="center" vertical="center"/>
    </xf>
    <xf numFmtId="166" fontId="40" fillId="2" borderId="10" xfId="7" applyNumberFormat="1" applyFont="1" applyFill="1" applyBorder="1" applyAlignment="1">
      <alignment horizontal="center" vertical="center"/>
    </xf>
    <xf numFmtId="166" fontId="40" fillId="2" borderId="11" xfId="7" applyNumberFormat="1" applyFont="1" applyFill="1" applyBorder="1" applyAlignment="1">
      <alignment horizontal="center" vertical="center"/>
    </xf>
    <xf numFmtId="0" fontId="38" fillId="0" borderId="0" xfId="7" applyFont="1" applyAlignment="1">
      <alignment horizontal="center"/>
    </xf>
    <xf numFmtId="0" fontId="37" fillId="2" borderId="9" xfId="7" applyFont="1" applyFill="1" applyBorder="1" applyAlignment="1">
      <alignment horizontal="center" vertical="center"/>
    </xf>
    <xf numFmtId="0" fontId="37" fillId="2" borderId="10" xfId="7" applyFont="1" applyFill="1" applyBorder="1" applyAlignment="1">
      <alignment horizontal="center" vertical="center"/>
    </xf>
    <xf numFmtId="0" fontId="37" fillId="2" borderId="11" xfId="7" applyFont="1" applyFill="1" applyBorder="1" applyAlignment="1">
      <alignment horizontal="center" vertical="center"/>
    </xf>
    <xf numFmtId="166" fontId="13" fillId="0" borderId="0" xfId="0" applyNumberFormat="1" applyFont="1" applyAlignment="1">
      <alignment horizontal="center" wrapText="1"/>
    </xf>
    <xf numFmtId="2" fontId="8" fillId="0" borderId="8" xfId="0" applyNumberFormat="1" applyFont="1" applyBorder="1" applyAlignment="1">
      <alignment horizontal="center"/>
    </xf>
    <xf numFmtId="2" fontId="8" fillId="0" borderId="0" xfId="0" applyNumberFormat="1" applyFont="1" applyAlignment="1">
      <alignment horizontal="center"/>
    </xf>
  </cellXfs>
  <cellStyles count="10">
    <cellStyle name="Comma 2" xfId="1" xr:uid="{00000000-0005-0000-0000-000000000000}"/>
    <cellStyle name="Currency" xfId="2" builtinId="4"/>
    <cellStyle name="Currency 2" xfId="3" xr:uid="{00000000-0005-0000-0000-000002000000}"/>
    <cellStyle name="Hyperlink" xfId="8" builtinId="8"/>
    <cellStyle name="Normal" xfId="0" builtinId="0"/>
    <cellStyle name="Normal 2" xfId="4" xr:uid="{00000000-0005-0000-0000-000005000000}"/>
    <cellStyle name="Normal 3" xfId="5" xr:uid="{00000000-0005-0000-0000-000006000000}"/>
    <cellStyle name="Normal 3 2" xfId="6" xr:uid="{00000000-0005-0000-0000-000007000000}"/>
    <cellStyle name="Normal 3 3" xfId="7" xr:uid="{00000000-0005-0000-0000-000008000000}"/>
    <cellStyle name="Normal 3 3 2" xfId="9" xr:uid="{00000000-0005-0000-0000-000009000000}"/>
  </cellStyles>
  <dxfs count="122">
    <dxf>
      <fill>
        <patternFill>
          <bgColor theme="7" tint="0.59996337778862885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28" Type="http://schemas.openxmlformats.org/officeDocument/2006/relationships/customXml" Target="../customXml/item4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Relationship Id="rId27" Type="http://schemas.openxmlformats.org/officeDocument/2006/relationships/customXml" Target="../customXml/item3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130433</xdr:colOff>
      <xdr:row>5</xdr:row>
      <xdr:rowOff>123565</xdr:rowOff>
    </xdr:from>
    <xdr:to>
      <xdr:col>10</xdr:col>
      <xdr:colOff>27459</xdr:colOff>
      <xdr:row>18</xdr:row>
      <xdr:rowOff>123567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l="-1" t="-1" r="-1226" b="12289"/>
        <a:stretch/>
      </xdr:blipFill>
      <xdr:spPr>
        <a:xfrm>
          <a:off x="1379838" y="1084646"/>
          <a:ext cx="5100594" cy="2498813"/>
        </a:xfrm>
        <a:prstGeom prst="rect">
          <a:avLst/>
        </a:prstGeom>
      </xdr:spPr>
    </xdr:pic>
    <xdr:clientData/>
  </xdr:twoCellAnchor>
  <xdr:twoCellAnchor editAs="oneCell">
    <xdr:from>
      <xdr:col>2</xdr:col>
      <xdr:colOff>562921</xdr:colOff>
      <xdr:row>18</xdr:row>
      <xdr:rowOff>75513</xdr:rowOff>
    </xdr:from>
    <xdr:to>
      <xdr:col>9</xdr:col>
      <xdr:colOff>144164</xdr:colOff>
      <xdr:row>20</xdr:row>
      <xdr:rowOff>75513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t="87916" r="16255" b="-1442"/>
        <a:stretch/>
      </xdr:blipFill>
      <xdr:spPr>
        <a:xfrm>
          <a:off x="1812326" y="3535405"/>
          <a:ext cx="4160108" cy="38443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403860</xdr:colOff>
          <xdr:row>1</xdr:row>
          <xdr:rowOff>38100</xdr:rowOff>
        </xdr:from>
        <xdr:to>
          <xdr:col>5</xdr:col>
          <xdr:colOff>952500</xdr:colOff>
          <xdr:row>3</xdr:row>
          <xdr:rowOff>76200</xdr:rowOff>
        </xdr:to>
        <xdr:sp macro="" textlink="">
          <xdr:nvSpPr>
            <xdr:cNvPr id="12289" name="SteelworkToggleButton" hidden="1">
              <a:extLst>
                <a:ext uri="{63B3BB69-23CF-44E3-9099-C40C66FF867C}">
                  <a14:compatExt spid="_x0000_s12289"/>
                </a:ext>
                <a:ext uri="{FF2B5EF4-FFF2-40B4-BE49-F238E27FC236}">
                  <a16:creationId xmlns:a16="http://schemas.microsoft.com/office/drawing/2014/main" id="{00000000-0008-0000-0700-000001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36576" tIns="32004" rIns="36576" bIns="32004" anchor="ctr" upright="1"/>
            <a:lstStyle/>
            <a:p>
              <a:pPr algn="ctr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Remove Steelwork</a:t>
              </a:r>
            </a:p>
          </xdr:txBody>
        </xdr:sp>
        <xdr:clientData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8.bin"/><Relationship Id="rId4" Type="http://schemas.openxmlformats.org/officeDocument/2006/relationships/ctrlProp" Target="../ctrlProps/ctrlProp1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L76"/>
  <sheetViews>
    <sheetView topLeftCell="A22" zoomScale="68" zoomScaleNormal="55" workbookViewId="0">
      <selection activeCell="J53" sqref="J53"/>
    </sheetView>
  </sheetViews>
  <sheetFormatPr defaultColWidth="9.109375" defaultRowHeight="13.2" x14ac:dyDescent="0.25"/>
  <cols>
    <col min="1" max="4" width="9.109375" style="7"/>
    <col min="5" max="7" width="10.109375" style="7" customWidth="1"/>
    <col min="8" max="12" width="9.109375" style="7"/>
    <col min="13" max="13" width="2.6640625" style="7" customWidth="1"/>
    <col min="14" max="16384" width="9.109375" style="7"/>
  </cols>
  <sheetData>
    <row r="1" spans="1:12" ht="15" customHeight="1" x14ac:dyDescent="0.25">
      <c r="A1" s="4"/>
      <c r="B1" s="5"/>
      <c r="C1" s="5"/>
      <c r="D1" s="5"/>
      <c r="E1" s="5"/>
      <c r="F1" s="5"/>
      <c r="G1" s="5"/>
      <c r="H1" s="5"/>
      <c r="I1" s="5"/>
      <c r="J1" s="5"/>
      <c r="K1" s="5"/>
      <c r="L1" s="6"/>
    </row>
    <row r="2" spans="1:12" ht="15" customHeight="1" x14ac:dyDescent="0.25">
      <c r="A2" s="8"/>
      <c r="K2" s="9"/>
      <c r="L2" s="10"/>
    </row>
    <row r="3" spans="1:12" ht="15" customHeight="1" x14ac:dyDescent="0.25">
      <c r="A3" s="8"/>
      <c r="K3" s="9"/>
      <c r="L3" s="10"/>
    </row>
    <row r="4" spans="1:12" ht="15" customHeight="1" x14ac:dyDescent="0.25">
      <c r="A4" s="8"/>
      <c r="K4" s="9"/>
      <c r="L4" s="10"/>
    </row>
    <row r="5" spans="1:12" ht="15" customHeight="1" x14ac:dyDescent="0.25">
      <c r="A5" s="8"/>
      <c r="K5" s="9"/>
      <c r="L5" s="10"/>
    </row>
    <row r="6" spans="1:12" ht="15" customHeight="1" x14ac:dyDescent="0.25">
      <c r="A6" s="8"/>
      <c r="K6" s="9"/>
      <c r="L6" s="10"/>
    </row>
    <row r="7" spans="1:12" ht="15" customHeight="1" x14ac:dyDescent="0.25">
      <c r="A7" s="8"/>
      <c r="K7" s="9"/>
      <c r="L7" s="10"/>
    </row>
    <row r="8" spans="1:12" ht="15" customHeight="1" x14ac:dyDescent="0.25">
      <c r="A8" s="8"/>
      <c r="K8" s="9"/>
      <c r="L8" s="10"/>
    </row>
    <row r="9" spans="1:12" ht="15" customHeight="1" x14ac:dyDescent="0.25">
      <c r="A9" s="8"/>
      <c r="K9" s="9"/>
      <c r="L9" s="10"/>
    </row>
    <row r="10" spans="1:12" ht="15" customHeight="1" x14ac:dyDescent="0.25">
      <c r="A10" s="8"/>
      <c r="K10" s="9"/>
      <c r="L10" s="10"/>
    </row>
    <row r="11" spans="1:12" ht="15" customHeight="1" x14ac:dyDescent="0.25">
      <c r="A11" s="8"/>
      <c r="L11" s="10"/>
    </row>
    <row r="12" spans="1:12" ht="15" customHeight="1" x14ac:dyDescent="0.25">
      <c r="A12" s="8"/>
      <c r="L12" s="10"/>
    </row>
    <row r="13" spans="1:12" ht="15" customHeight="1" x14ac:dyDescent="0.25">
      <c r="A13" s="8"/>
      <c r="L13" s="10"/>
    </row>
    <row r="14" spans="1:12" ht="15" customHeight="1" x14ac:dyDescent="0.25">
      <c r="A14" s="8"/>
      <c r="L14" s="10"/>
    </row>
    <row r="15" spans="1:12" ht="15" customHeight="1" x14ac:dyDescent="0.3">
      <c r="A15" s="8"/>
      <c r="F15" s="17"/>
      <c r="L15" s="10"/>
    </row>
    <row r="16" spans="1:12" ht="15" customHeight="1" x14ac:dyDescent="0.25">
      <c r="A16" s="8"/>
      <c r="L16" s="10"/>
    </row>
    <row r="17" spans="1:12" ht="15" customHeight="1" x14ac:dyDescent="0.25">
      <c r="A17" s="8"/>
      <c r="L17" s="10"/>
    </row>
    <row r="18" spans="1:12" ht="15" customHeight="1" x14ac:dyDescent="0.25">
      <c r="A18" s="8"/>
      <c r="L18" s="10"/>
    </row>
    <row r="19" spans="1:12" ht="15" customHeight="1" x14ac:dyDescent="0.25">
      <c r="A19" s="8"/>
      <c r="L19" s="10"/>
    </row>
    <row r="20" spans="1:12" ht="15" customHeight="1" x14ac:dyDescent="0.25">
      <c r="A20" s="8"/>
      <c r="L20" s="10"/>
    </row>
    <row r="21" spans="1:12" ht="15" customHeight="1" x14ac:dyDescent="0.25">
      <c r="A21" s="8"/>
      <c r="L21" s="10"/>
    </row>
    <row r="22" spans="1:12" ht="15" customHeight="1" x14ac:dyDescent="0.25">
      <c r="A22" s="8"/>
      <c r="L22" s="10"/>
    </row>
    <row r="23" spans="1:12" ht="15" customHeight="1" thickBot="1" x14ac:dyDescent="0.3">
      <c r="A23" s="8"/>
      <c r="L23" s="10"/>
    </row>
    <row r="24" spans="1:12" ht="15" customHeight="1" x14ac:dyDescent="0.25">
      <c r="A24" s="8"/>
      <c r="B24" s="353" t="s">
        <v>465</v>
      </c>
      <c r="C24" s="354"/>
      <c r="D24" s="354"/>
      <c r="E24" s="354"/>
      <c r="F24" s="354"/>
      <c r="G24" s="354"/>
      <c r="H24" s="354"/>
      <c r="I24" s="354"/>
      <c r="J24" s="354"/>
      <c r="K24" s="355"/>
      <c r="L24" s="10"/>
    </row>
    <row r="25" spans="1:12" ht="15" customHeight="1" thickBot="1" x14ac:dyDescent="0.3">
      <c r="A25" s="8"/>
      <c r="B25" s="356"/>
      <c r="C25" s="357"/>
      <c r="D25" s="357"/>
      <c r="E25" s="357"/>
      <c r="F25" s="357"/>
      <c r="G25" s="357"/>
      <c r="H25" s="357"/>
      <c r="I25" s="357"/>
      <c r="J25" s="357"/>
      <c r="K25" s="358"/>
      <c r="L25" s="10"/>
    </row>
    <row r="26" spans="1:12" ht="15" customHeight="1" x14ac:dyDescent="0.25">
      <c r="A26" s="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0"/>
    </row>
    <row r="27" spans="1:12" ht="15" customHeight="1" x14ac:dyDescent="0.25">
      <c r="A27" s="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0"/>
    </row>
    <row r="28" spans="1:12" ht="15" customHeight="1" x14ac:dyDescent="0.25">
      <c r="A28" s="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0"/>
    </row>
    <row r="29" spans="1:12" ht="15" customHeight="1" x14ac:dyDescent="0.25">
      <c r="A29" s="8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0"/>
    </row>
    <row r="30" spans="1:12" ht="15" customHeight="1" thickBot="1" x14ac:dyDescent="0.3">
      <c r="A30" s="8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0"/>
    </row>
    <row r="31" spans="1:12" ht="15" customHeight="1" x14ac:dyDescent="0.25">
      <c r="A31" s="8"/>
      <c r="B31" s="353" t="s">
        <v>4</v>
      </c>
      <c r="C31" s="354"/>
      <c r="D31" s="354"/>
      <c r="E31" s="354"/>
      <c r="F31" s="354"/>
      <c r="G31" s="354"/>
      <c r="H31" s="354"/>
      <c r="I31" s="354"/>
      <c r="J31" s="354"/>
      <c r="K31" s="355"/>
      <c r="L31" s="10"/>
    </row>
    <row r="32" spans="1:12" ht="15" customHeight="1" thickBot="1" x14ac:dyDescent="0.3">
      <c r="A32" s="8"/>
      <c r="B32" s="356"/>
      <c r="C32" s="357"/>
      <c r="D32" s="357"/>
      <c r="E32" s="357"/>
      <c r="F32" s="357"/>
      <c r="G32" s="357"/>
      <c r="H32" s="357"/>
      <c r="I32" s="357"/>
      <c r="J32" s="357"/>
      <c r="K32" s="358"/>
      <c r="L32" s="10"/>
    </row>
    <row r="33" spans="1:12" ht="15" customHeight="1" x14ac:dyDescent="0.25">
      <c r="A33" s="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0"/>
    </row>
    <row r="34" spans="1:12" ht="15" customHeight="1" x14ac:dyDescent="0.25">
      <c r="A34" s="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0"/>
    </row>
    <row r="35" spans="1:12" ht="15" customHeight="1" x14ac:dyDescent="0.25">
      <c r="A35" s="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0"/>
    </row>
    <row r="36" spans="1:12" ht="15" customHeight="1" x14ac:dyDescent="0.25">
      <c r="A36" s="8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0"/>
    </row>
    <row r="37" spans="1:12" ht="15" customHeight="1" thickBot="1" x14ac:dyDescent="0.3">
      <c r="A37" s="8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0"/>
    </row>
    <row r="38" spans="1:12" ht="15" customHeight="1" x14ac:dyDescent="0.25">
      <c r="A38" s="8"/>
      <c r="B38" s="353" t="s">
        <v>463</v>
      </c>
      <c r="C38" s="354"/>
      <c r="D38" s="354"/>
      <c r="E38" s="354"/>
      <c r="F38" s="354"/>
      <c r="G38" s="354"/>
      <c r="H38" s="354"/>
      <c r="I38" s="354"/>
      <c r="J38" s="354"/>
      <c r="K38" s="355"/>
      <c r="L38" s="10"/>
    </row>
    <row r="39" spans="1:12" ht="15" customHeight="1" x14ac:dyDescent="0.25">
      <c r="A39" s="8"/>
      <c r="B39" s="359"/>
      <c r="C39" s="360"/>
      <c r="D39" s="360"/>
      <c r="E39" s="360"/>
      <c r="F39" s="360"/>
      <c r="G39" s="360"/>
      <c r="H39" s="360"/>
      <c r="I39" s="360"/>
      <c r="J39" s="360"/>
      <c r="K39" s="361"/>
      <c r="L39" s="10"/>
    </row>
    <row r="40" spans="1:12" ht="15" customHeight="1" x14ac:dyDescent="0.25">
      <c r="A40" s="8"/>
      <c r="B40" s="359"/>
      <c r="C40" s="360"/>
      <c r="D40" s="360"/>
      <c r="E40" s="360"/>
      <c r="F40" s="360"/>
      <c r="G40" s="360"/>
      <c r="H40" s="360"/>
      <c r="I40" s="360"/>
      <c r="J40" s="360"/>
      <c r="K40" s="361"/>
      <c r="L40" s="10"/>
    </row>
    <row r="41" spans="1:12" ht="15" customHeight="1" thickBot="1" x14ac:dyDescent="0.3">
      <c r="A41" s="8"/>
      <c r="B41" s="356"/>
      <c r="C41" s="357"/>
      <c r="D41" s="357"/>
      <c r="E41" s="357"/>
      <c r="F41" s="357"/>
      <c r="G41" s="357"/>
      <c r="H41" s="357"/>
      <c r="I41" s="357"/>
      <c r="J41" s="357"/>
      <c r="K41" s="358"/>
      <c r="L41" s="10"/>
    </row>
    <row r="42" spans="1:12" ht="15" customHeight="1" x14ac:dyDescent="0.25">
      <c r="A42" s="8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0"/>
    </row>
    <row r="43" spans="1:12" ht="15" customHeight="1" x14ac:dyDescent="0.25">
      <c r="A43" s="8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0"/>
    </row>
    <row r="44" spans="1:12" ht="15" customHeight="1" x14ac:dyDescent="0.25">
      <c r="A44" s="8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0"/>
    </row>
    <row r="45" spans="1:12" ht="15" customHeight="1" x14ac:dyDescent="0.25">
      <c r="A45" s="8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0"/>
    </row>
    <row r="46" spans="1:12" ht="15" customHeight="1" thickBot="1" x14ac:dyDescent="0.3">
      <c r="A46" s="8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0"/>
    </row>
    <row r="47" spans="1:12" ht="15" customHeight="1" x14ac:dyDescent="0.25">
      <c r="A47" s="8"/>
      <c r="B47" s="353" t="s">
        <v>462</v>
      </c>
      <c r="C47" s="354"/>
      <c r="D47" s="354"/>
      <c r="E47" s="354"/>
      <c r="F47" s="354"/>
      <c r="G47" s="354"/>
      <c r="H47" s="354"/>
      <c r="I47" s="354"/>
      <c r="J47" s="354"/>
      <c r="K47" s="355"/>
      <c r="L47" s="10"/>
    </row>
    <row r="48" spans="1:12" ht="15" customHeight="1" x14ac:dyDescent="0.25">
      <c r="A48" s="8"/>
      <c r="B48" s="359"/>
      <c r="C48" s="360"/>
      <c r="D48" s="360"/>
      <c r="E48" s="360"/>
      <c r="F48" s="360"/>
      <c r="G48" s="360"/>
      <c r="H48" s="360"/>
      <c r="I48" s="360"/>
      <c r="J48" s="360"/>
      <c r="K48" s="361"/>
      <c r="L48" s="10"/>
    </row>
    <row r="49" spans="1:12" ht="15" customHeight="1" x14ac:dyDescent="0.25">
      <c r="A49" s="8"/>
      <c r="B49" s="359"/>
      <c r="C49" s="360"/>
      <c r="D49" s="360"/>
      <c r="E49" s="360"/>
      <c r="F49" s="360"/>
      <c r="G49" s="360"/>
      <c r="H49" s="360"/>
      <c r="I49" s="360"/>
      <c r="J49" s="360"/>
      <c r="K49" s="361"/>
      <c r="L49" s="10"/>
    </row>
    <row r="50" spans="1:12" ht="15" customHeight="1" thickBot="1" x14ac:dyDescent="0.3">
      <c r="A50" s="8"/>
      <c r="B50" s="356"/>
      <c r="C50" s="357"/>
      <c r="D50" s="357"/>
      <c r="E50" s="357"/>
      <c r="F50" s="357"/>
      <c r="G50" s="357"/>
      <c r="H50" s="357"/>
      <c r="I50" s="357"/>
      <c r="J50" s="357"/>
      <c r="K50" s="358"/>
      <c r="L50" s="10"/>
    </row>
    <row r="51" spans="1:12" ht="15" customHeight="1" x14ac:dyDescent="0.25">
      <c r="A51" s="8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0"/>
    </row>
    <row r="52" spans="1:12" ht="15" customHeight="1" x14ac:dyDescent="0.25">
      <c r="A52" s="8"/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0"/>
    </row>
    <row r="53" spans="1:12" ht="15" customHeight="1" x14ac:dyDescent="0.25">
      <c r="A53" s="8"/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0"/>
    </row>
    <row r="54" spans="1:12" ht="15" customHeight="1" x14ac:dyDescent="0.25">
      <c r="A54" s="8"/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0"/>
    </row>
    <row r="55" spans="1:12" ht="15" customHeight="1" x14ac:dyDescent="0.25">
      <c r="A55" s="8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0"/>
    </row>
    <row r="56" spans="1:12" ht="15" customHeight="1" thickBot="1" x14ac:dyDescent="0.3">
      <c r="A56" s="8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0"/>
    </row>
    <row r="57" spans="1:12" ht="15" customHeight="1" x14ac:dyDescent="0.25">
      <c r="A57" s="8"/>
      <c r="B57" s="362" t="s">
        <v>467</v>
      </c>
      <c r="C57" s="354"/>
      <c r="D57" s="354"/>
      <c r="E57" s="354"/>
      <c r="F57" s="354"/>
      <c r="G57" s="354"/>
      <c r="H57" s="354"/>
      <c r="I57" s="354"/>
      <c r="J57" s="354"/>
      <c r="K57" s="355"/>
      <c r="L57" s="10"/>
    </row>
    <row r="58" spans="1:12" ht="15" customHeight="1" thickBot="1" x14ac:dyDescent="0.3">
      <c r="A58" s="8"/>
      <c r="B58" s="356"/>
      <c r="C58" s="357"/>
      <c r="D58" s="357"/>
      <c r="E58" s="357"/>
      <c r="F58" s="357"/>
      <c r="G58" s="357"/>
      <c r="H58" s="357"/>
      <c r="I58" s="357"/>
      <c r="J58" s="357"/>
      <c r="K58" s="358"/>
      <c r="L58" s="10"/>
    </row>
    <row r="59" spans="1:12" ht="15" customHeight="1" x14ac:dyDescent="0.25">
      <c r="A59" s="8"/>
      <c r="L59" s="10"/>
    </row>
    <row r="60" spans="1:12" ht="15" customHeight="1" x14ac:dyDescent="0.25">
      <c r="A60" s="8"/>
      <c r="L60" s="10"/>
    </row>
    <row r="61" spans="1:12" ht="15" customHeight="1" x14ac:dyDescent="0.25">
      <c r="A61" s="8"/>
      <c r="L61" s="10"/>
    </row>
    <row r="62" spans="1:12" ht="15" customHeight="1" x14ac:dyDescent="0.25">
      <c r="A62" s="8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0"/>
    </row>
    <row r="63" spans="1:12" ht="15" customHeight="1" x14ac:dyDescent="0.25">
      <c r="A63" s="8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0"/>
    </row>
    <row r="64" spans="1:12" ht="15" customHeight="1" x14ac:dyDescent="0.25">
      <c r="A64" s="8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0"/>
    </row>
    <row r="65" spans="1:12" ht="15" customHeight="1" thickBot="1" x14ac:dyDescent="0.3">
      <c r="A65" s="12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4"/>
    </row>
    <row r="66" spans="1:12" x14ac:dyDescent="0.25">
      <c r="B66" s="11"/>
      <c r="C66" s="11"/>
      <c r="D66" s="11"/>
      <c r="E66" s="11"/>
      <c r="F66" s="11"/>
      <c r="G66" s="11"/>
      <c r="H66" s="11"/>
      <c r="I66" s="11"/>
      <c r="J66" s="11"/>
      <c r="K66" s="11"/>
    </row>
    <row r="76" spans="1:12" x14ac:dyDescent="0.25">
      <c r="B76" s="57"/>
    </row>
  </sheetData>
  <mergeCells count="5">
    <mergeCell ref="B24:K25"/>
    <mergeCell ref="B31:K32"/>
    <mergeCell ref="B38:K41"/>
    <mergeCell ref="B57:K58"/>
    <mergeCell ref="B47:K50"/>
  </mergeCells>
  <printOptions horizontalCentered="1"/>
  <pageMargins left="0.70866141732283461" right="0.70866141732283461" top="0.31496062992125984" bottom="0.62992125984251968" header="0.31496062992125984" footer="0.31496062992125984"/>
  <pageSetup paperSize="9" scale="77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B70"/>
  <sheetViews>
    <sheetView zoomScale="79" zoomScaleNormal="70" workbookViewId="0">
      <selection activeCell="B16" sqref="B16"/>
    </sheetView>
  </sheetViews>
  <sheetFormatPr defaultColWidth="9.109375" defaultRowHeight="15.6" x14ac:dyDescent="0.3"/>
  <cols>
    <col min="1" max="1" width="9.109375" style="95" customWidth="1"/>
    <col min="2" max="2" width="126.44140625" style="41" customWidth="1"/>
    <col min="3" max="16384" width="9.109375" style="1"/>
  </cols>
  <sheetData>
    <row r="1" spans="1:2" ht="15" customHeight="1" x14ac:dyDescent="0.3"/>
    <row r="2" spans="1:2" ht="15" customHeight="1" x14ac:dyDescent="0.3">
      <c r="B2" s="3" t="str">
        <f>Cover!B47</f>
        <v>PROJECT: Mr &amp; Mrs Hawkes-Cowands House</v>
      </c>
    </row>
    <row r="3" spans="1:2" ht="15" customHeight="1" x14ac:dyDescent="0.3">
      <c r="B3" s="53" t="str">
        <f>Cover!B57</f>
        <v>DATE: 25TH SEPTEMBER 2025</v>
      </c>
    </row>
    <row r="4" spans="1:2" ht="15" customHeight="1" x14ac:dyDescent="0.3">
      <c r="B4" s="3"/>
    </row>
    <row r="5" spans="1:2" ht="15" customHeight="1" thickBot="1" x14ac:dyDescent="0.35">
      <c r="B5" s="262"/>
    </row>
    <row r="6" spans="1:2" ht="21.3" customHeight="1" thickBot="1" x14ac:dyDescent="0.3">
      <c r="A6" s="106"/>
      <c r="B6" s="107" t="s">
        <v>5</v>
      </c>
    </row>
    <row r="7" spans="1:2" ht="15" customHeight="1" x14ac:dyDescent="0.3">
      <c r="A7" s="108"/>
      <c r="B7" s="40"/>
    </row>
    <row r="8" spans="1:2" s="42" customFormat="1" ht="15" customHeight="1" x14ac:dyDescent="0.3">
      <c r="A8" s="108">
        <v>1</v>
      </c>
      <c r="B8" s="41" t="s">
        <v>6</v>
      </c>
    </row>
    <row r="9" spans="1:2" s="42" customFormat="1" ht="15" customHeight="1" x14ac:dyDescent="0.3">
      <c r="A9" s="108"/>
      <c r="B9" s="41"/>
    </row>
    <row r="10" spans="1:2" s="42" customFormat="1" ht="15" customHeight="1" x14ac:dyDescent="0.3">
      <c r="A10" s="93">
        <v>1.1000000000000001</v>
      </c>
      <c r="B10" s="21" t="s">
        <v>78</v>
      </c>
    </row>
    <row r="11" spans="1:2" s="42" customFormat="1" ht="15" customHeight="1" x14ac:dyDescent="0.3">
      <c r="A11" s="93">
        <f>+A10+0.1</f>
        <v>1.2000000000000002</v>
      </c>
      <c r="B11" s="21" t="s">
        <v>32</v>
      </c>
    </row>
    <row r="12" spans="1:2" s="42" customFormat="1" ht="15" customHeight="1" x14ac:dyDescent="0.3">
      <c r="A12" s="93">
        <f t="shared" ref="A12:A18" si="0">+A11+0.1</f>
        <v>1.3000000000000003</v>
      </c>
      <c r="B12" s="94" t="s">
        <v>109</v>
      </c>
    </row>
    <row r="13" spans="1:2" s="42" customFormat="1" ht="15" customHeight="1" x14ac:dyDescent="0.25">
      <c r="A13" s="95">
        <f t="shared" si="0"/>
        <v>1.4000000000000004</v>
      </c>
      <c r="B13" s="58" t="s">
        <v>164</v>
      </c>
    </row>
    <row r="14" spans="1:2" s="42" customFormat="1" ht="15" customHeight="1" x14ac:dyDescent="0.3">
      <c r="A14" s="93">
        <f t="shared" si="0"/>
        <v>1.5000000000000004</v>
      </c>
      <c r="B14" s="21" t="s">
        <v>33</v>
      </c>
    </row>
    <row r="15" spans="1:2" s="42" customFormat="1" ht="15" customHeight="1" x14ac:dyDescent="0.25">
      <c r="A15" s="95">
        <f t="shared" si="0"/>
        <v>1.6000000000000005</v>
      </c>
      <c r="B15" s="58" t="s">
        <v>110</v>
      </c>
    </row>
    <row r="16" spans="1:2" s="42" customFormat="1" ht="15" customHeight="1" x14ac:dyDescent="0.3">
      <c r="A16" s="93">
        <f t="shared" si="0"/>
        <v>1.7000000000000006</v>
      </c>
      <c r="B16" s="41" t="s">
        <v>155</v>
      </c>
    </row>
    <row r="17" spans="1:2" s="42" customFormat="1" ht="15" customHeight="1" x14ac:dyDescent="0.3">
      <c r="A17" s="93">
        <f t="shared" si="0"/>
        <v>1.8000000000000007</v>
      </c>
      <c r="B17" s="44" t="s">
        <v>111</v>
      </c>
    </row>
    <row r="18" spans="1:2" s="42" customFormat="1" ht="15" customHeight="1" x14ac:dyDescent="0.3">
      <c r="A18" s="93">
        <f t="shared" si="0"/>
        <v>1.9000000000000008</v>
      </c>
      <c r="B18" s="40" t="s">
        <v>156</v>
      </c>
    </row>
    <row r="19" spans="1:2" s="42" customFormat="1" ht="15" customHeight="1" x14ac:dyDescent="0.3">
      <c r="A19" s="96">
        <v>1.1000000000000001</v>
      </c>
      <c r="B19" s="46" t="s">
        <v>76</v>
      </c>
    </row>
    <row r="20" spans="1:2" s="42" customFormat="1" ht="15" customHeight="1" x14ac:dyDescent="0.3">
      <c r="A20" s="96">
        <v>1.1100000000000001</v>
      </c>
      <c r="B20" s="41" t="s">
        <v>112</v>
      </c>
    </row>
    <row r="21" spans="1:2" s="42" customFormat="1" ht="15" customHeight="1" x14ac:dyDescent="0.3">
      <c r="A21" s="96">
        <v>1.1200000000000001</v>
      </c>
      <c r="B21" s="40" t="s">
        <v>79</v>
      </c>
    </row>
    <row r="22" spans="1:2" s="42" customFormat="1" ht="15" customHeight="1" x14ac:dyDescent="0.3">
      <c r="A22" s="109"/>
      <c r="B22" s="40"/>
    </row>
    <row r="23" spans="1:2" s="42" customFormat="1" ht="15" customHeight="1" x14ac:dyDescent="0.3">
      <c r="A23" s="108">
        <v>2</v>
      </c>
      <c r="B23" s="40" t="s">
        <v>154</v>
      </c>
    </row>
    <row r="24" spans="1:2" s="42" customFormat="1" ht="15" customHeight="1" x14ac:dyDescent="0.3">
      <c r="A24" s="108"/>
      <c r="B24" s="40"/>
    </row>
    <row r="25" spans="1:2" s="42" customFormat="1" ht="15" customHeight="1" x14ac:dyDescent="0.3">
      <c r="A25" s="93">
        <v>2.1</v>
      </c>
      <c r="B25" s="40" t="s">
        <v>117</v>
      </c>
    </row>
    <row r="26" spans="1:2" s="42" customFormat="1" ht="15" customHeight="1" x14ac:dyDescent="0.3">
      <c r="A26" s="108">
        <v>2.2000000000000002</v>
      </c>
      <c r="B26" s="40" t="s">
        <v>118</v>
      </c>
    </row>
    <row r="27" spans="1:2" s="42" customFormat="1" ht="15" customHeight="1" x14ac:dyDescent="0.3">
      <c r="A27" s="108">
        <v>2.2999999999999998</v>
      </c>
      <c r="B27" s="44" t="s">
        <v>119</v>
      </c>
    </row>
    <row r="28" spans="1:2" s="42" customFormat="1" ht="15" customHeight="1" x14ac:dyDescent="0.3">
      <c r="A28" s="108">
        <v>2.4</v>
      </c>
      <c r="B28" s="110" t="s">
        <v>120</v>
      </c>
    </row>
    <row r="29" spans="1:2" s="42" customFormat="1" ht="15" customHeight="1" x14ac:dyDescent="0.3">
      <c r="A29" s="108">
        <v>2.5</v>
      </c>
      <c r="B29" s="45" t="s">
        <v>121</v>
      </c>
    </row>
    <row r="30" spans="1:2" s="42" customFormat="1" ht="15" customHeight="1" x14ac:dyDescent="0.3">
      <c r="A30" s="108">
        <v>2.6</v>
      </c>
      <c r="B30" s="45" t="s">
        <v>160</v>
      </c>
    </row>
    <row r="31" spans="1:2" s="42" customFormat="1" ht="15" customHeight="1" x14ac:dyDescent="0.3">
      <c r="A31" s="108">
        <v>2.7</v>
      </c>
      <c r="B31" s="45" t="s">
        <v>157</v>
      </c>
    </row>
    <row r="32" spans="1:2" s="42" customFormat="1" ht="15" customHeight="1" x14ac:dyDescent="0.3">
      <c r="A32" s="108">
        <v>2.8</v>
      </c>
      <c r="B32" s="45" t="s">
        <v>158</v>
      </c>
    </row>
    <row r="33" spans="1:2" s="42" customFormat="1" ht="15" customHeight="1" x14ac:dyDescent="0.3">
      <c r="A33" s="108">
        <v>2.9</v>
      </c>
      <c r="B33" s="45" t="s">
        <v>159</v>
      </c>
    </row>
    <row r="34" spans="1:2" s="42" customFormat="1" ht="15" customHeight="1" x14ac:dyDescent="0.3">
      <c r="A34" s="109"/>
      <c r="B34" s="41"/>
    </row>
    <row r="35" spans="1:2" s="42" customFormat="1" ht="15" customHeight="1" x14ac:dyDescent="0.3">
      <c r="A35" s="108">
        <v>3</v>
      </c>
      <c r="B35" s="44" t="s">
        <v>7</v>
      </c>
    </row>
    <row r="36" spans="1:2" s="42" customFormat="1" ht="15" customHeight="1" x14ac:dyDescent="0.3">
      <c r="A36" s="108"/>
      <c r="B36" s="41"/>
    </row>
    <row r="37" spans="1:2" s="42" customFormat="1" ht="15" customHeight="1" x14ac:dyDescent="0.3">
      <c r="A37" s="108">
        <v>3.1</v>
      </c>
      <c r="B37" s="41" t="s">
        <v>122</v>
      </c>
    </row>
    <row r="38" spans="1:2" s="42" customFormat="1" ht="15" customHeight="1" x14ac:dyDescent="0.3">
      <c r="A38" s="108">
        <v>3.2</v>
      </c>
      <c r="B38" s="41" t="s">
        <v>123</v>
      </c>
    </row>
    <row r="39" spans="1:2" s="42" customFormat="1" ht="15" customHeight="1" x14ac:dyDescent="0.3">
      <c r="A39" s="108">
        <v>3.3</v>
      </c>
      <c r="B39" s="41" t="s">
        <v>85</v>
      </c>
    </row>
    <row r="40" spans="1:2" s="42" customFormat="1" ht="15" customHeight="1" x14ac:dyDescent="0.3">
      <c r="A40" s="108">
        <v>3.4</v>
      </c>
      <c r="B40" s="41" t="s">
        <v>80</v>
      </c>
    </row>
    <row r="41" spans="1:2" s="42" customFormat="1" ht="15" customHeight="1" x14ac:dyDescent="0.3">
      <c r="A41" s="108">
        <v>3.5</v>
      </c>
      <c r="B41" s="41" t="s">
        <v>81</v>
      </c>
    </row>
    <row r="42" spans="1:2" s="42" customFormat="1" ht="15" customHeight="1" x14ac:dyDescent="0.3">
      <c r="A42" s="108">
        <v>3.6</v>
      </c>
      <c r="B42" s="41" t="s">
        <v>82</v>
      </c>
    </row>
    <row r="43" spans="1:2" s="42" customFormat="1" ht="15" customHeight="1" x14ac:dyDescent="0.3">
      <c r="A43" s="108">
        <v>3.7</v>
      </c>
      <c r="B43" s="41" t="s">
        <v>83</v>
      </c>
    </row>
    <row r="44" spans="1:2" s="42" customFormat="1" ht="15" customHeight="1" x14ac:dyDescent="0.3">
      <c r="A44" s="108">
        <v>3.8</v>
      </c>
      <c r="B44" s="46" t="s">
        <v>84</v>
      </c>
    </row>
    <row r="45" spans="1:2" s="42" customFormat="1" ht="15" customHeight="1" x14ac:dyDescent="0.3">
      <c r="A45" s="108">
        <v>3.9</v>
      </c>
      <c r="B45" s="46" t="s">
        <v>161</v>
      </c>
    </row>
    <row r="46" spans="1:2" s="42" customFormat="1" ht="15" customHeight="1" x14ac:dyDescent="0.3">
      <c r="A46" s="109">
        <v>3.1</v>
      </c>
      <c r="B46" s="46" t="s">
        <v>87</v>
      </c>
    </row>
    <row r="47" spans="1:2" s="42" customFormat="1" ht="15" customHeight="1" x14ac:dyDescent="0.3">
      <c r="A47" s="108">
        <v>3.11</v>
      </c>
      <c r="B47" s="46" t="s">
        <v>88</v>
      </c>
    </row>
    <row r="48" spans="1:2" s="42" customFormat="1" ht="15" customHeight="1" x14ac:dyDescent="0.3">
      <c r="A48" s="108">
        <v>3.12</v>
      </c>
      <c r="B48" s="46" t="s">
        <v>124</v>
      </c>
    </row>
    <row r="49" spans="1:2" s="42" customFormat="1" ht="15" customHeight="1" x14ac:dyDescent="0.3">
      <c r="A49" s="108">
        <v>3.13</v>
      </c>
      <c r="B49" s="46" t="s">
        <v>206</v>
      </c>
    </row>
    <row r="50" spans="1:2" s="42" customFormat="1" ht="15" customHeight="1" x14ac:dyDescent="0.3">
      <c r="A50" s="108">
        <v>3.14</v>
      </c>
      <c r="B50" s="46" t="s">
        <v>216</v>
      </c>
    </row>
    <row r="51" spans="1:2" s="42" customFormat="1" ht="15" customHeight="1" x14ac:dyDescent="0.3">
      <c r="A51" s="108">
        <v>3.15</v>
      </c>
      <c r="B51" s="46" t="s">
        <v>217</v>
      </c>
    </row>
    <row r="52" spans="1:2" s="42" customFormat="1" ht="15" customHeight="1" x14ac:dyDescent="0.3">
      <c r="A52" s="108"/>
      <c r="B52" s="46"/>
    </row>
    <row r="53" spans="1:2" s="42" customFormat="1" ht="15" customHeight="1" x14ac:dyDescent="0.3">
      <c r="A53" s="108">
        <v>4</v>
      </c>
      <c r="B53" s="44" t="s">
        <v>125</v>
      </c>
    </row>
    <row r="54" spans="1:2" s="42" customFormat="1" ht="15" customHeight="1" x14ac:dyDescent="0.3">
      <c r="A54" s="108"/>
      <c r="B54" s="46"/>
    </row>
    <row r="55" spans="1:2" s="42" customFormat="1" ht="15" customHeight="1" x14ac:dyDescent="0.3">
      <c r="A55" s="108">
        <v>4.0999999999999996</v>
      </c>
      <c r="B55" s="40" t="s">
        <v>126</v>
      </c>
    </row>
    <row r="56" spans="1:2" s="42" customFormat="1" ht="15" customHeight="1" x14ac:dyDescent="0.3">
      <c r="A56" s="108">
        <v>4.2</v>
      </c>
      <c r="B56" s="44" t="s">
        <v>127</v>
      </c>
    </row>
    <row r="57" spans="1:2" s="42" customFormat="1" ht="15" customHeight="1" x14ac:dyDescent="0.3">
      <c r="A57" s="108">
        <v>4.3</v>
      </c>
      <c r="B57" s="44" t="s">
        <v>128</v>
      </c>
    </row>
    <row r="58" spans="1:2" s="42" customFormat="1" ht="15" customHeight="1" x14ac:dyDescent="0.3">
      <c r="A58" s="108">
        <v>4.4000000000000004</v>
      </c>
      <c r="B58" s="44" t="s">
        <v>129</v>
      </c>
    </row>
    <row r="59" spans="1:2" s="42" customFormat="1" ht="15" customHeight="1" x14ac:dyDescent="0.3">
      <c r="A59" s="108">
        <v>4.5</v>
      </c>
      <c r="B59" s="44" t="s">
        <v>163</v>
      </c>
    </row>
    <row r="60" spans="1:2" s="42" customFormat="1" ht="15" customHeight="1" x14ac:dyDescent="0.3">
      <c r="A60" s="108">
        <v>4.5999999999999996</v>
      </c>
      <c r="B60" s="41" t="s">
        <v>130</v>
      </c>
    </row>
    <row r="61" spans="1:2" s="42" customFormat="1" ht="15" customHeight="1" x14ac:dyDescent="0.3">
      <c r="A61" s="108">
        <v>4.7</v>
      </c>
      <c r="B61" s="46" t="s">
        <v>162</v>
      </c>
    </row>
    <row r="62" spans="1:2" s="42" customFormat="1" ht="15" customHeight="1" x14ac:dyDescent="0.3">
      <c r="A62" s="108">
        <v>4.8</v>
      </c>
      <c r="B62" s="46" t="s">
        <v>131</v>
      </c>
    </row>
    <row r="63" spans="1:2" s="42" customFormat="1" ht="15" customHeight="1" x14ac:dyDescent="0.3">
      <c r="A63" s="95">
        <v>4.9000000000000004</v>
      </c>
      <c r="B63" s="46" t="s">
        <v>132</v>
      </c>
    </row>
    <row r="64" spans="1:2" s="42" customFormat="1" ht="15" customHeight="1" x14ac:dyDescent="0.3">
      <c r="A64" s="98">
        <v>4.0999999999999996</v>
      </c>
      <c r="B64" s="46" t="s">
        <v>151</v>
      </c>
    </row>
    <row r="65" spans="1:2" s="42" customFormat="1" ht="15" customHeight="1" x14ac:dyDescent="0.3">
      <c r="A65" s="98">
        <v>4.1100000000000003</v>
      </c>
      <c r="B65" s="41" t="s">
        <v>152</v>
      </c>
    </row>
    <row r="66" spans="1:2" x14ac:dyDescent="0.3">
      <c r="A66" s="95">
        <v>4.12</v>
      </c>
      <c r="B66" s="41" t="s">
        <v>205</v>
      </c>
    </row>
    <row r="67" spans="1:2" x14ac:dyDescent="0.3">
      <c r="A67" s="95">
        <v>4.13</v>
      </c>
      <c r="B67" s="41" t="s">
        <v>208</v>
      </c>
    </row>
    <row r="68" spans="1:2" x14ac:dyDescent="0.3">
      <c r="A68" s="95">
        <v>4.1399999999999997</v>
      </c>
      <c r="B68" s="41" t="s">
        <v>209</v>
      </c>
    </row>
    <row r="69" spans="1:2" x14ac:dyDescent="0.3">
      <c r="A69" s="95">
        <v>4.1500000000000004</v>
      </c>
      <c r="B69" s="41" t="s">
        <v>210</v>
      </c>
    </row>
    <row r="70" spans="1:2" x14ac:dyDescent="0.3">
      <c r="A70" s="95">
        <v>4.16</v>
      </c>
      <c r="B70" s="41" t="s">
        <v>220</v>
      </c>
    </row>
  </sheetData>
  <printOptions horizontalCentered="1"/>
  <pageMargins left="0.70866141732283461" right="0.70866141732283461" top="0.31496062992125984" bottom="0.62992125984251968" header="0.31496062992125984" footer="0.31496062992125984"/>
  <pageSetup paperSize="9" scale="64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>
    <pageSetUpPr fitToPage="1"/>
  </sheetPr>
  <dimension ref="A1:B93"/>
  <sheetViews>
    <sheetView tabSelected="1" zoomScale="70" zoomScaleNormal="70" workbookViewId="0">
      <selection activeCell="B43" sqref="B43"/>
    </sheetView>
  </sheetViews>
  <sheetFormatPr defaultColWidth="9.109375" defaultRowHeight="13.2" x14ac:dyDescent="0.25"/>
  <cols>
    <col min="1" max="1" width="9.109375" style="1"/>
    <col min="2" max="2" width="126.44140625" style="2" customWidth="1"/>
    <col min="3" max="16384" width="9.109375" style="1"/>
  </cols>
  <sheetData>
    <row r="1" spans="1:2" ht="15.6" x14ac:dyDescent="0.3">
      <c r="A1" s="40"/>
      <c r="B1" s="41"/>
    </row>
    <row r="2" spans="1:2" ht="18" x14ac:dyDescent="0.35">
      <c r="A2" s="100"/>
      <c r="B2" s="39" t="str">
        <f>+Cover!B47</f>
        <v>PROJECT: Mr &amp; Mrs Hawkes-Cowands House</v>
      </c>
    </row>
    <row r="3" spans="1:2" ht="18" x14ac:dyDescent="0.35">
      <c r="A3" s="100"/>
      <c r="B3" s="105" t="str">
        <f>+Cover!B57</f>
        <v>DATE: 25TH SEPTEMBER 2025</v>
      </c>
    </row>
    <row r="4" spans="1:2" ht="18.600000000000001" thickBot="1" x14ac:dyDescent="0.4">
      <c r="A4" s="100"/>
      <c r="B4" s="101"/>
    </row>
    <row r="5" spans="1:2" s="97" customFormat="1" ht="20.25" customHeight="1" thickBot="1" x14ac:dyDescent="0.35">
      <c r="A5" s="102"/>
      <c r="B5" s="103" t="s">
        <v>116</v>
      </c>
    </row>
    <row r="6" spans="1:2" ht="15.6" x14ac:dyDescent="0.3">
      <c r="A6" s="40"/>
      <c r="B6" s="40"/>
    </row>
    <row r="7" spans="1:2" ht="15.6" x14ac:dyDescent="0.3">
      <c r="A7" s="43"/>
      <c r="B7" s="47" t="s">
        <v>153</v>
      </c>
    </row>
    <row r="8" spans="1:2" ht="15.6" x14ac:dyDescent="0.3">
      <c r="A8" s="43"/>
      <c r="B8" s="47"/>
    </row>
    <row r="9" spans="1:2" ht="15.6" x14ac:dyDescent="0.3">
      <c r="A9" s="43"/>
      <c r="B9" s="41" t="s">
        <v>189</v>
      </c>
    </row>
    <row r="10" spans="1:2" ht="15.6" x14ac:dyDescent="0.3">
      <c r="A10" s="43"/>
      <c r="B10" s="41"/>
    </row>
    <row r="11" spans="1:2" ht="15.6" x14ac:dyDescent="0.3">
      <c r="A11" s="43"/>
      <c r="B11" s="41" t="s">
        <v>194</v>
      </c>
    </row>
    <row r="12" spans="1:2" ht="15.6" x14ac:dyDescent="0.3">
      <c r="A12" s="43"/>
      <c r="B12" s="104" t="s">
        <v>195</v>
      </c>
    </row>
    <row r="13" spans="1:2" ht="15.6" x14ac:dyDescent="0.3">
      <c r="A13" s="43"/>
      <c r="B13" s="104" t="s">
        <v>196</v>
      </c>
    </row>
    <row r="14" spans="1:2" ht="15.6" x14ac:dyDescent="0.3">
      <c r="A14" s="43"/>
      <c r="B14" s="104" t="s">
        <v>197</v>
      </c>
    </row>
    <row r="15" spans="1:2" ht="15.6" x14ac:dyDescent="0.3">
      <c r="A15" s="43"/>
      <c r="B15" s="104" t="s">
        <v>198</v>
      </c>
    </row>
    <row r="16" spans="1:2" ht="15.6" x14ac:dyDescent="0.3">
      <c r="A16" s="43"/>
      <c r="B16" s="104" t="s">
        <v>199</v>
      </c>
    </row>
    <row r="17" spans="1:2" ht="15.6" x14ac:dyDescent="0.3">
      <c r="A17" s="43"/>
      <c r="B17" s="104"/>
    </row>
    <row r="18" spans="1:2" ht="15.6" x14ac:dyDescent="0.3">
      <c r="A18" s="43"/>
      <c r="B18" s="104"/>
    </row>
    <row r="19" spans="1:2" ht="15.6" x14ac:dyDescent="0.3">
      <c r="A19" s="43"/>
      <c r="B19" s="104"/>
    </row>
    <row r="20" spans="1:2" ht="15.6" x14ac:dyDescent="0.3">
      <c r="A20" s="43"/>
      <c r="B20" s="104"/>
    </row>
    <row r="21" spans="1:2" ht="15.6" x14ac:dyDescent="0.3">
      <c r="A21" s="43"/>
      <c r="B21" s="104"/>
    </row>
    <row r="22" spans="1:2" ht="15.6" x14ac:dyDescent="0.3">
      <c r="A22" s="43"/>
      <c r="B22" s="104"/>
    </row>
    <row r="23" spans="1:2" ht="15.6" x14ac:dyDescent="0.3">
      <c r="A23" s="43"/>
      <c r="B23" s="104"/>
    </row>
    <row r="24" spans="1:2" ht="15.6" x14ac:dyDescent="0.3">
      <c r="A24" s="43"/>
      <c r="B24" s="104"/>
    </row>
    <row r="25" spans="1:2" ht="15.6" x14ac:dyDescent="0.3">
      <c r="A25" s="43"/>
      <c r="B25" s="104"/>
    </row>
    <row r="26" spans="1:2" ht="15.6" x14ac:dyDescent="0.3">
      <c r="A26" s="43"/>
      <c r="B26" s="104"/>
    </row>
    <row r="27" spans="1:2" ht="15.6" x14ac:dyDescent="0.3">
      <c r="A27" s="43"/>
      <c r="B27" s="104"/>
    </row>
    <row r="28" spans="1:2" ht="15.6" x14ac:dyDescent="0.3">
      <c r="A28" s="43"/>
      <c r="B28" s="104"/>
    </row>
    <row r="29" spans="1:2" ht="15.6" x14ac:dyDescent="0.3">
      <c r="A29" s="43"/>
      <c r="B29" s="104"/>
    </row>
    <row r="30" spans="1:2" ht="15.6" x14ac:dyDescent="0.3">
      <c r="A30" s="43"/>
      <c r="B30" s="104"/>
    </row>
    <row r="31" spans="1:2" ht="15.6" x14ac:dyDescent="0.3">
      <c r="A31" s="43"/>
      <c r="B31" s="104"/>
    </row>
    <row r="32" spans="1:2" ht="15.6" x14ac:dyDescent="0.3">
      <c r="A32" s="43"/>
      <c r="B32" s="104"/>
    </row>
    <row r="33" spans="1:2" ht="15.6" x14ac:dyDescent="0.3">
      <c r="A33" s="43"/>
      <c r="B33" s="104"/>
    </row>
    <row r="34" spans="1:2" ht="15.6" x14ac:dyDescent="0.3">
      <c r="A34" s="43"/>
      <c r="B34" s="104"/>
    </row>
    <row r="35" spans="1:2" ht="15.6" x14ac:dyDescent="0.3">
      <c r="A35" s="43"/>
      <c r="B35" s="104"/>
    </row>
    <row r="36" spans="1:2" ht="15.6" x14ac:dyDescent="0.3">
      <c r="A36" s="43"/>
      <c r="B36" s="104"/>
    </row>
    <row r="37" spans="1:2" ht="15.6" x14ac:dyDescent="0.3">
      <c r="A37" s="43"/>
      <c r="B37" s="104"/>
    </row>
    <row r="38" spans="1:2" ht="15.6" x14ac:dyDescent="0.3">
      <c r="A38" s="43"/>
      <c r="B38" s="104"/>
    </row>
    <row r="39" spans="1:2" ht="15.6" x14ac:dyDescent="0.3">
      <c r="A39" s="43"/>
      <c r="B39" s="104"/>
    </row>
    <row r="40" spans="1:2" ht="15.6" x14ac:dyDescent="0.3">
      <c r="A40" s="43"/>
      <c r="B40" s="104"/>
    </row>
    <row r="41" spans="1:2" ht="15.6" x14ac:dyDescent="0.3">
      <c r="A41" s="43"/>
      <c r="B41" s="104"/>
    </row>
    <row r="42" spans="1:2" ht="15.6" x14ac:dyDescent="0.3">
      <c r="A42" s="43"/>
      <c r="B42" s="104"/>
    </row>
    <row r="43" spans="1:2" ht="15.6" x14ac:dyDescent="0.3">
      <c r="A43" s="43"/>
      <c r="B43" s="104"/>
    </row>
    <row r="44" spans="1:2" ht="15.6" x14ac:dyDescent="0.3">
      <c r="A44" s="43"/>
      <c r="B44" s="104"/>
    </row>
    <row r="45" spans="1:2" ht="15.6" x14ac:dyDescent="0.3">
      <c r="A45" s="43"/>
      <c r="B45" s="104"/>
    </row>
    <row r="46" spans="1:2" ht="15.6" x14ac:dyDescent="0.3">
      <c r="A46" s="43"/>
      <c r="B46" s="104"/>
    </row>
    <row r="47" spans="1:2" ht="15.6" x14ac:dyDescent="0.3">
      <c r="A47" s="43"/>
      <c r="B47" s="104"/>
    </row>
    <row r="48" spans="1:2" ht="15.6" x14ac:dyDescent="0.3">
      <c r="A48" s="43"/>
      <c r="B48" s="104"/>
    </row>
    <row r="49" spans="1:2" ht="15.6" x14ac:dyDescent="0.3">
      <c r="A49" s="43"/>
      <c r="B49" s="104"/>
    </row>
    <row r="50" spans="1:2" ht="15.6" x14ac:dyDescent="0.3">
      <c r="A50" s="43"/>
      <c r="B50" s="104"/>
    </row>
    <row r="51" spans="1:2" ht="15.6" x14ac:dyDescent="0.3">
      <c r="A51" s="43"/>
      <c r="B51" s="104"/>
    </row>
    <row r="52" spans="1:2" ht="15.6" x14ac:dyDescent="0.3">
      <c r="A52" s="43"/>
      <c r="B52" s="104"/>
    </row>
    <row r="53" spans="1:2" ht="15.6" x14ac:dyDescent="0.3">
      <c r="A53" s="43"/>
      <c r="B53" s="104"/>
    </row>
    <row r="54" spans="1:2" ht="15.6" x14ac:dyDescent="0.3">
      <c r="A54" s="43"/>
      <c r="B54" s="104"/>
    </row>
    <row r="55" spans="1:2" ht="15.6" x14ac:dyDescent="0.3">
      <c r="A55" s="43"/>
      <c r="B55" s="104"/>
    </row>
    <row r="56" spans="1:2" ht="15.6" x14ac:dyDescent="0.3">
      <c r="A56" s="43"/>
      <c r="B56" s="104"/>
    </row>
    <row r="57" spans="1:2" ht="15.6" x14ac:dyDescent="0.3">
      <c r="A57" s="43"/>
      <c r="B57" s="104"/>
    </row>
    <row r="58" spans="1:2" ht="15.6" x14ac:dyDescent="0.3">
      <c r="A58" s="43"/>
      <c r="B58" s="104"/>
    </row>
    <row r="59" spans="1:2" ht="15.6" x14ac:dyDescent="0.3">
      <c r="A59" s="43"/>
      <c r="B59" s="104"/>
    </row>
    <row r="60" spans="1:2" ht="15.6" x14ac:dyDescent="0.3">
      <c r="A60" s="43"/>
      <c r="B60" s="104"/>
    </row>
    <row r="61" spans="1:2" ht="15.6" x14ac:dyDescent="0.3">
      <c r="A61" s="43"/>
      <c r="B61" s="104"/>
    </row>
    <row r="62" spans="1:2" ht="15.6" x14ac:dyDescent="0.3">
      <c r="A62" s="43"/>
      <c r="B62" s="104"/>
    </row>
    <row r="63" spans="1:2" ht="15.6" x14ac:dyDescent="0.3">
      <c r="A63" s="43"/>
      <c r="B63" s="104"/>
    </row>
    <row r="64" spans="1:2" ht="15.6" x14ac:dyDescent="0.3">
      <c r="A64" s="43"/>
      <c r="B64" s="104"/>
    </row>
    <row r="65" spans="1:2" ht="15.6" x14ac:dyDescent="0.3">
      <c r="A65" s="43"/>
      <c r="B65" s="104"/>
    </row>
    <row r="66" spans="1:2" ht="15.6" x14ac:dyDescent="0.3">
      <c r="A66" s="43"/>
      <c r="B66" s="104"/>
    </row>
    <row r="67" spans="1:2" ht="15.6" x14ac:dyDescent="0.3">
      <c r="A67" s="43"/>
      <c r="B67" s="104"/>
    </row>
    <row r="68" spans="1:2" ht="15.6" x14ac:dyDescent="0.3">
      <c r="A68" s="43"/>
      <c r="B68" s="104"/>
    </row>
    <row r="69" spans="1:2" ht="15.6" x14ac:dyDescent="0.3">
      <c r="A69" s="43"/>
      <c r="B69" s="104"/>
    </row>
    <row r="70" spans="1:2" ht="15.6" x14ac:dyDescent="0.3">
      <c r="A70" s="43"/>
      <c r="B70" s="104"/>
    </row>
    <row r="71" spans="1:2" ht="15.6" x14ac:dyDescent="0.3">
      <c r="A71" s="43"/>
      <c r="B71" s="104"/>
    </row>
    <row r="72" spans="1:2" ht="15.6" x14ac:dyDescent="0.3">
      <c r="A72" s="43"/>
      <c r="B72" s="104"/>
    </row>
    <row r="73" spans="1:2" ht="15.6" x14ac:dyDescent="0.3">
      <c r="A73" s="43"/>
      <c r="B73" s="104"/>
    </row>
    <row r="74" spans="1:2" ht="15.6" x14ac:dyDescent="0.3">
      <c r="A74" s="43"/>
      <c r="B74" s="41"/>
    </row>
    <row r="75" spans="1:2" ht="15.6" x14ac:dyDescent="0.3">
      <c r="A75" s="40"/>
      <c r="B75" s="41"/>
    </row>
    <row r="76" spans="1:2" ht="15.6" x14ac:dyDescent="0.3">
      <c r="A76" s="40"/>
      <c r="B76" s="41"/>
    </row>
    <row r="77" spans="1:2" ht="15.6" x14ac:dyDescent="0.3">
      <c r="A77" s="40"/>
      <c r="B77" s="41"/>
    </row>
    <row r="78" spans="1:2" ht="15.6" x14ac:dyDescent="0.3">
      <c r="A78" s="40"/>
      <c r="B78" s="41"/>
    </row>
    <row r="79" spans="1:2" ht="15.6" x14ac:dyDescent="0.3">
      <c r="A79" s="40"/>
      <c r="B79" s="41"/>
    </row>
    <row r="80" spans="1:2" ht="15.6" x14ac:dyDescent="0.3">
      <c r="A80" s="40"/>
      <c r="B80" s="41"/>
    </row>
    <row r="81" spans="1:2" ht="15.6" x14ac:dyDescent="0.3">
      <c r="A81" s="40"/>
      <c r="B81" s="41"/>
    </row>
    <row r="82" spans="1:2" ht="15.6" x14ac:dyDescent="0.3">
      <c r="A82" s="40"/>
      <c r="B82" s="41"/>
    </row>
    <row r="83" spans="1:2" ht="15.6" x14ac:dyDescent="0.3">
      <c r="A83" s="40"/>
      <c r="B83" s="41"/>
    </row>
    <row r="84" spans="1:2" ht="15.6" x14ac:dyDescent="0.3">
      <c r="A84" s="40"/>
      <c r="B84" s="41"/>
    </row>
    <row r="85" spans="1:2" ht="15.6" x14ac:dyDescent="0.3">
      <c r="A85" s="40"/>
      <c r="B85" s="41"/>
    </row>
    <row r="86" spans="1:2" ht="15.6" x14ac:dyDescent="0.3">
      <c r="A86" s="40"/>
      <c r="B86" s="41"/>
    </row>
    <row r="87" spans="1:2" ht="15.6" x14ac:dyDescent="0.3">
      <c r="A87" s="40"/>
      <c r="B87" s="41"/>
    </row>
    <row r="88" spans="1:2" ht="15.6" x14ac:dyDescent="0.3">
      <c r="A88" s="40"/>
      <c r="B88" s="41"/>
    </row>
    <row r="89" spans="1:2" ht="15.6" x14ac:dyDescent="0.3">
      <c r="A89" s="40"/>
      <c r="B89" s="41"/>
    </row>
    <row r="90" spans="1:2" ht="15.6" x14ac:dyDescent="0.3">
      <c r="A90" s="40"/>
      <c r="B90" s="41"/>
    </row>
    <row r="91" spans="1:2" ht="15.6" x14ac:dyDescent="0.3">
      <c r="A91" s="40"/>
      <c r="B91" s="41"/>
    </row>
    <row r="92" spans="1:2" ht="15.6" x14ac:dyDescent="0.3">
      <c r="A92" s="40"/>
      <c r="B92" s="41"/>
    </row>
    <row r="93" spans="1:2" ht="15.6" x14ac:dyDescent="0.3">
      <c r="A93" s="40"/>
      <c r="B93" s="41"/>
    </row>
  </sheetData>
  <sheetProtection algorithmName="SHA-512" hashValue="M8+78uHl42uqqrEatQeXy+g5su7VIh0JnobH6wNKK6TS72Ki5nMBV6SjVdXOysaXmj97EJzdPMOwy0Uxzdp3Vw==" saltValue="U/En+2Jf67PVAi67jOTqBg==" spinCount="100000" sheet="1" objects="1" scenarios="1"/>
  <printOptions horizontalCentered="1"/>
  <pageMargins left="0.70866141732283472" right="0.70866141732283472" top="0.74803149606299213" bottom="0.74803149606299213" header="0.31496062992125984" footer="0.31496062992125984"/>
  <pageSetup paperSize="9" scale="64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>
    <pageSetUpPr fitToPage="1"/>
  </sheetPr>
  <dimension ref="B1:M64"/>
  <sheetViews>
    <sheetView zoomScale="87" zoomScaleNormal="55" workbookViewId="0">
      <selection activeCell="B12" sqref="B12"/>
    </sheetView>
  </sheetViews>
  <sheetFormatPr defaultColWidth="9.109375" defaultRowHeight="15.6" x14ac:dyDescent="0.3"/>
  <cols>
    <col min="1" max="1" width="2.33203125" style="91" customWidth="1"/>
    <col min="2" max="2" width="70.44140625" style="91" customWidth="1"/>
    <col min="3" max="3" width="16.44140625" style="87" customWidth="1"/>
    <col min="4" max="4" width="20.6640625" style="92" customWidth="1"/>
    <col min="5" max="5" width="12.44140625" style="90" bestFit="1" customWidth="1"/>
    <col min="6" max="7" width="20.6640625" style="120" customWidth="1"/>
    <col min="8" max="9" width="20.6640625" style="238" customWidth="1"/>
    <col min="10" max="10" width="10.109375" style="91" bestFit="1" customWidth="1"/>
    <col min="11" max="11" width="13.33203125" style="91" bestFit="1" customWidth="1"/>
    <col min="12" max="16384" width="9.109375" style="91"/>
  </cols>
  <sheetData>
    <row r="1" spans="2:13" x14ac:dyDescent="0.3">
      <c r="B1" s="111"/>
    </row>
    <row r="2" spans="2:13" s="90" customFormat="1" x14ac:dyDescent="0.3">
      <c r="B2" s="112" t="str">
        <f>+Documents!B2</f>
        <v>PROJECT: Mr &amp; Mrs Hawkes-Cowands House</v>
      </c>
      <c r="C2" s="87"/>
      <c r="D2" s="92"/>
      <c r="F2" s="120"/>
      <c r="G2" s="120"/>
      <c r="H2" s="238"/>
      <c r="I2" s="238"/>
    </row>
    <row r="3" spans="2:13" s="90" customFormat="1" ht="16.2" thickBot="1" x14ac:dyDescent="0.35">
      <c r="B3" s="144" t="str">
        <f>+Documents!B3</f>
        <v>DATE: 25TH SEPTEMBER 2025</v>
      </c>
      <c r="C3" s="87"/>
      <c r="D3" s="92"/>
      <c r="F3" s="120"/>
      <c r="G3" s="120"/>
      <c r="H3" s="238"/>
      <c r="I3" s="238"/>
    </row>
    <row r="4" spans="2:13" s="90" customFormat="1" ht="16.2" thickBot="1" x14ac:dyDescent="0.35">
      <c r="B4" s="91"/>
      <c r="C4" s="87"/>
      <c r="D4" s="92"/>
      <c r="F4" s="366" t="s">
        <v>139</v>
      </c>
      <c r="G4" s="367"/>
      <c r="H4" s="367"/>
      <c r="I4" s="368"/>
    </row>
    <row r="5" spans="2:13" s="90" customFormat="1" ht="31.8" customHeight="1" thickBot="1" x14ac:dyDescent="0.35">
      <c r="B5" s="363" t="s">
        <v>133</v>
      </c>
      <c r="C5" s="364"/>
      <c r="D5" s="365"/>
      <c r="F5" s="217" t="s">
        <v>140</v>
      </c>
      <c r="G5" s="113" t="s">
        <v>141</v>
      </c>
      <c r="H5" s="113" t="s">
        <v>179</v>
      </c>
      <c r="I5" s="114" t="s">
        <v>180</v>
      </c>
      <c r="K5" s="238" t="s">
        <v>142</v>
      </c>
      <c r="L5" s="369" t="e">
        <f ca="1">CheckMissingTabs(B7:B33)</f>
        <v>#NAME?</v>
      </c>
      <c r="M5" s="369"/>
    </row>
    <row r="6" spans="2:13" x14ac:dyDescent="0.3">
      <c r="B6" s="115"/>
      <c r="D6" s="88"/>
      <c r="F6" s="198"/>
      <c r="H6" s="120"/>
      <c r="I6" s="199"/>
    </row>
    <row r="7" spans="2:13" x14ac:dyDescent="0.3">
      <c r="B7" s="115" t="s">
        <v>15</v>
      </c>
      <c r="D7" s="88">
        <f>+Demolition!F52</f>
        <v>9774.8486000000012</v>
      </c>
      <c r="F7" s="244">
        <f>+Demolition!K52</f>
        <v>9774.8486000000012</v>
      </c>
      <c r="G7" s="245">
        <f>+Demolition!L52</f>
        <v>0</v>
      </c>
      <c r="H7" s="120">
        <f>+Demolition!M52</f>
        <v>1466.2272900000003</v>
      </c>
      <c r="I7" s="199">
        <f>+Demolition!N52</f>
        <v>0</v>
      </c>
      <c r="K7" s="120">
        <f>+F7+G7+I7+H7-D7</f>
        <v>1466.2272900000007</v>
      </c>
    </row>
    <row r="8" spans="2:13" x14ac:dyDescent="0.3">
      <c r="B8" s="115"/>
      <c r="D8" s="88"/>
      <c r="F8" s="198"/>
      <c r="H8" s="120"/>
      <c r="I8" s="199"/>
      <c r="K8" s="238"/>
    </row>
    <row r="9" spans="2:13" x14ac:dyDescent="0.3">
      <c r="B9" s="115" t="s">
        <v>19</v>
      </c>
      <c r="D9" s="88">
        <f>+Substructure!F130</f>
        <v>22343.90700000001</v>
      </c>
      <c r="F9" s="244">
        <f>+Substructure!K130</f>
        <v>11408.233999999999</v>
      </c>
      <c r="G9" s="245">
        <f>+Substructure!L130</f>
        <v>10935.672999999997</v>
      </c>
      <c r="H9" s="120">
        <f>+Substructure!M130</f>
        <v>1711.2351000000006</v>
      </c>
      <c r="I9" s="199">
        <f>+Substructure!N130</f>
        <v>1640.35095</v>
      </c>
      <c r="K9" s="120">
        <f t="shared" ref="K9" si="0">+F9+G9+I9+H9-D9</f>
        <v>3351.5860499999872</v>
      </c>
    </row>
    <row r="10" spans="2:13" x14ac:dyDescent="0.3">
      <c r="B10" s="115"/>
      <c r="D10" s="88"/>
      <c r="F10" s="198"/>
      <c r="H10" s="120"/>
      <c r="I10" s="199"/>
      <c r="K10" s="238"/>
    </row>
    <row r="11" spans="2:13" x14ac:dyDescent="0.3">
      <c r="B11" s="115" t="s">
        <v>14</v>
      </c>
      <c r="D11" s="88">
        <f>+Superstructure!F65</f>
        <v>16830.696000000004</v>
      </c>
      <c r="F11" s="244">
        <f>+Superstructure!K65</f>
        <v>5730.6235000000006</v>
      </c>
      <c r="G11" s="245">
        <f>+Superstructure!L65</f>
        <v>11100.072500000002</v>
      </c>
      <c r="H11" s="120">
        <f>+Superstructure!M65</f>
        <v>859.59352500000023</v>
      </c>
      <c r="I11" s="199">
        <f>+Superstructure!N65</f>
        <v>1665.0108750000006</v>
      </c>
      <c r="K11" s="120">
        <f t="shared" ref="K11" si="1">+F11+G11+I11+H11-D11</f>
        <v>2524.6044000000002</v>
      </c>
    </row>
    <row r="12" spans="2:13" x14ac:dyDescent="0.3">
      <c r="B12" s="115"/>
      <c r="D12" s="88"/>
      <c r="F12" s="198"/>
      <c r="H12" s="120"/>
      <c r="I12" s="199"/>
      <c r="K12" s="238"/>
    </row>
    <row r="13" spans="2:13" x14ac:dyDescent="0.3">
      <c r="B13" s="115" t="s">
        <v>187</v>
      </c>
      <c r="D13" s="88">
        <f>+'Structural Steelwork'!F23</f>
        <v>1420.3520000000001</v>
      </c>
      <c r="F13" s="244">
        <f>+'Structural Steelwork'!K23</f>
        <v>562.16599999999994</v>
      </c>
      <c r="G13" s="245">
        <f>+'Structural Steelwork'!L23</f>
        <v>858.18599999999992</v>
      </c>
      <c r="H13" s="120">
        <f>+'Structural Steelwork'!M23</f>
        <v>84.324900000000028</v>
      </c>
      <c r="I13" s="199">
        <f>+'Structural Steelwork'!N23</f>
        <v>128.72790000000003</v>
      </c>
      <c r="K13" s="120">
        <f t="shared" ref="K13" si="2">+F13+G13+I13+H13-D13</f>
        <v>213.05279999999993</v>
      </c>
    </row>
    <row r="14" spans="2:13" x14ac:dyDescent="0.3">
      <c r="B14" s="115"/>
      <c r="D14" s="88"/>
      <c r="F14" s="198"/>
      <c r="H14" s="120"/>
      <c r="I14" s="199"/>
      <c r="K14" s="238"/>
    </row>
    <row r="15" spans="2:13" x14ac:dyDescent="0.3">
      <c r="B15" s="115" t="s">
        <v>65</v>
      </c>
      <c r="D15" s="88">
        <f>+Roof!F54</f>
        <v>8338.7599999999984</v>
      </c>
      <c r="F15" s="244">
        <f>+Roof!K54</f>
        <v>3361.998</v>
      </c>
      <c r="G15" s="245">
        <f>+Roof!L54</f>
        <v>5404.4879999999994</v>
      </c>
      <c r="H15" s="120">
        <f>+Roof!M54</f>
        <v>504.29970000000009</v>
      </c>
      <c r="I15" s="199">
        <f>+Roof!N54</f>
        <v>810.67320000000007</v>
      </c>
      <c r="K15" s="120">
        <f t="shared" ref="K15" si="3">+F15+G15+I15+H15-D15</f>
        <v>1742.6988999999994</v>
      </c>
    </row>
    <row r="16" spans="2:13" x14ac:dyDescent="0.3">
      <c r="B16" s="115"/>
      <c r="D16" s="88"/>
      <c r="F16" s="198"/>
      <c r="H16" s="120"/>
      <c r="I16" s="199"/>
      <c r="K16" s="238"/>
    </row>
    <row r="17" spans="2:11" x14ac:dyDescent="0.3">
      <c r="B17" s="115" t="s">
        <v>188</v>
      </c>
      <c r="D17" s="88">
        <f>+'Windows, Doors &amp; Rooflights'!H34</f>
        <v>17145</v>
      </c>
      <c r="F17" s="244">
        <f>+'Windows, Doors &amp; Rooflights'!M34</f>
        <v>3920</v>
      </c>
      <c r="G17" s="245">
        <f>+'Windows, Doors &amp; Rooflights'!N34</f>
        <v>13225</v>
      </c>
      <c r="H17" s="120">
        <f>+'Windows, Doors &amp; Rooflights'!O34</f>
        <v>588.00000000000011</v>
      </c>
      <c r="I17" s="199">
        <f>+'Windows, Doors &amp; Rooflights'!P34</f>
        <v>1983.7500000000002</v>
      </c>
      <c r="K17" s="120">
        <f t="shared" ref="K17" si="4">+F17+G17+I17+H17-D17</f>
        <v>2571.75</v>
      </c>
    </row>
    <row r="18" spans="2:11" x14ac:dyDescent="0.3">
      <c r="B18" s="115"/>
      <c r="D18" s="88"/>
      <c r="F18" s="198"/>
      <c r="H18" s="120"/>
      <c r="I18" s="199"/>
      <c r="K18" s="238"/>
    </row>
    <row r="19" spans="2:11" x14ac:dyDescent="0.3">
      <c r="B19" s="115" t="s">
        <v>37</v>
      </c>
      <c r="D19" s="88">
        <f>+Partitions!F100</f>
        <v>20580.606000000003</v>
      </c>
      <c r="F19" s="244">
        <f>+Partitions!K100</f>
        <v>8070.2919999999995</v>
      </c>
      <c r="G19" s="245">
        <f>+Partitions!L100</f>
        <v>11851.694</v>
      </c>
      <c r="H19" s="120">
        <f>+Partitions!M100</f>
        <v>1210.5438000000001</v>
      </c>
      <c r="I19" s="199">
        <f>+Partitions!N100</f>
        <v>1777.7541000000003</v>
      </c>
      <c r="K19" s="120">
        <f t="shared" ref="K19" si="5">+F19+G19+I19+H19-D19</f>
        <v>2329.6778999999951</v>
      </c>
    </row>
    <row r="20" spans="2:11" x14ac:dyDescent="0.3">
      <c r="B20" s="115"/>
      <c r="D20" s="88"/>
      <c r="F20" s="198"/>
      <c r="H20" s="120"/>
      <c r="I20" s="199"/>
      <c r="K20" s="238"/>
    </row>
    <row r="21" spans="2:11" x14ac:dyDescent="0.3">
      <c r="B21" s="115" t="s">
        <v>28</v>
      </c>
      <c r="D21" s="88">
        <f>+Joinery!F121</f>
        <v>50949.342999999993</v>
      </c>
      <c r="F21" s="244">
        <f>+Joinery!K121</f>
        <v>5084.6000000000004</v>
      </c>
      <c r="G21" s="245">
        <f>+Joinery!L121</f>
        <v>35680.680000000008</v>
      </c>
      <c r="H21" s="120">
        <f>+Joinery!M121</f>
        <v>2290.2994500000009</v>
      </c>
      <c r="I21" s="199">
        <f>+Joinery!N121</f>
        <v>5352.1020000000026</v>
      </c>
      <c r="K21" s="120">
        <f t="shared" ref="K21" si="6">+F21+G21+I21+H21-D21</f>
        <v>-2541.6615499999825</v>
      </c>
    </row>
    <row r="22" spans="2:11" x14ac:dyDescent="0.3">
      <c r="B22" s="115"/>
      <c r="D22" s="88"/>
      <c r="F22" s="198"/>
      <c r="H22" s="120"/>
      <c r="I22" s="199"/>
      <c r="K22" s="238"/>
    </row>
    <row r="23" spans="2:11" x14ac:dyDescent="0.3">
      <c r="B23" s="115" t="s">
        <v>29</v>
      </c>
      <c r="D23" s="88">
        <f>+Decoration!F28</f>
        <v>14213.378000000001</v>
      </c>
      <c r="F23" s="244">
        <f>+Decoration!K28</f>
        <v>5749.2019999999993</v>
      </c>
      <c r="G23" s="245">
        <f>+Decoration!L28</f>
        <v>8464.1759999999995</v>
      </c>
      <c r="H23" s="120">
        <f>+Decoration!M28</f>
        <v>862.38030000000015</v>
      </c>
      <c r="I23" s="199">
        <f>+Decoration!N28</f>
        <v>1269.6264000000006</v>
      </c>
      <c r="K23" s="120">
        <f t="shared" ref="K23" si="7">+F23+G23+I23+H23-D23</f>
        <v>2132.0066999999999</v>
      </c>
    </row>
    <row r="24" spans="2:11" x14ac:dyDescent="0.3">
      <c r="B24" s="115"/>
      <c r="D24" s="88"/>
      <c r="F24" s="198"/>
      <c r="H24" s="120"/>
      <c r="I24" s="199"/>
      <c r="K24" s="238"/>
    </row>
    <row r="25" spans="2:11" x14ac:dyDescent="0.3">
      <c r="B25" s="115" t="s">
        <v>38</v>
      </c>
      <c r="D25" s="88">
        <f>+'Floor finishes'!F21</f>
        <v>14521.326499999999</v>
      </c>
      <c r="F25" s="244">
        <f>+'Floor finishes'!K21</f>
        <v>5171.8955000000005</v>
      </c>
      <c r="G25" s="245">
        <f>+'Floor finishes'!L21</f>
        <v>9349.4310000000005</v>
      </c>
      <c r="H25" s="120">
        <f>+'Floor finishes'!M21</f>
        <v>775.78432500000008</v>
      </c>
      <c r="I25" s="199">
        <f>+'Floor finishes'!N21</f>
        <v>1402.4146500000002</v>
      </c>
      <c r="K25" s="120">
        <f t="shared" ref="K25" si="8">+F25+G25+I25+H25-D25</f>
        <v>2178.198975000003</v>
      </c>
    </row>
    <row r="26" spans="2:11" x14ac:dyDescent="0.3">
      <c r="B26" s="115"/>
      <c r="D26" s="88"/>
      <c r="F26" s="198"/>
      <c r="H26" s="120"/>
      <c r="I26" s="199"/>
      <c r="K26" s="238"/>
    </row>
    <row r="27" spans="2:11" x14ac:dyDescent="0.3">
      <c r="B27" s="115" t="s">
        <v>73</v>
      </c>
      <c r="D27" s="88">
        <f>+'Wall finishes'!F18</f>
        <v>2047.1999999999998</v>
      </c>
      <c r="F27" s="244">
        <f>+'Wall finishes'!K18</f>
        <v>636</v>
      </c>
      <c r="G27" s="245">
        <f>+'Wall finishes'!L18</f>
        <v>1411.1999999999998</v>
      </c>
      <c r="H27" s="120">
        <f>+'Wall finishes'!M18</f>
        <v>95.4</v>
      </c>
      <c r="I27" s="199">
        <f>+'Wall finishes'!N18</f>
        <v>211.68</v>
      </c>
      <c r="K27" s="120">
        <f t="shared" ref="K27" si="9">+F27+G27+I27+H27-D27</f>
        <v>307.07999999999993</v>
      </c>
    </row>
    <row r="28" spans="2:11" x14ac:dyDescent="0.3">
      <c r="B28" s="115"/>
      <c r="D28" s="88"/>
      <c r="F28" s="198"/>
      <c r="H28" s="120"/>
      <c r="I28" s="199"/>
      <c r="K28" s="238"/>
    </row>
    <row r="29" spans="2:11" x14ac:dyDescent="0.3">
      <c r="B29" s="115" t="s">
        <v>186</v>
      </c>
      <c r="D29" s="88">
        <f>+'Kitchens &amp; Bathrooms'!F58</f>
        <v>25670.212</v>
      </c>
      <c r="F29" s="244">
        <f>+'Kitchens &amp; Bathrooms'!K58</f>
        <v>4863.3320000000003</v>
      </c>
      <c r="G29" s="245">
        <f>+'Kitchens &amp; Bathrooms'!L58</f>
        <v>20806.88</v>
      </c>
      <c r="H29" s="120">
        <f>+'Kitchens &amp; Bathrooms'!M58</f>
        <v>729.49980000000005</v>
      </c>
      <c r="I29" s="199">
        <f>+'Kitchens &amp; Bathrooms'!N58</f>
        <v>3121.0320000000002</v>
      </c>
      <c r="K29" s="120">
        <f t="shared" ref="K29" si="10">+F29+G29+I29+H29-D29</f>
        <v>3850.5318000000007</v>
      </c>
    </row>
    <row r="30" spans="2:11" x14ac:dyDescent="0.3">
      <c r="B30" s="115"/>
      <c r="D30" s="88"/>
      <c r="F30" s="198"/>
      <c r="H30" s="120"/>
      <c r="I30" s="199"/>
      <c r="K30" s="238"/>
    </row>
    <row r="31" spans="2:11" x14ac:dyDescent="0.3">
      <c r="B31" s="115" t="s">
        <v>20</v>
      </c>
      <c r="D31" s="88">
        <f>+Electrical!F60</f>
        <v>15679.4</v>
      </c>
      <c r="F31" s="244">
        <f>+Electrical!K60</f>
        <v>6060</v>
      </c>
      <c r="G31" s="245">
        <f>+Electrical!L60</f>
        <v>9619.4</v>
      </c>
      <c r="H31" s="120">
        <f>+Electrical!M60</f>
        <v>909.00000000000011</v>
      </c>
      <c r="I31" s="199">
        <f>+Electrical!N60</f>
        <v>1442.91</v>
      </c>
      <c r="K31" s="120">
        <f t="shared" ref="K31" si="11">+F31+G31+I31+H31-D31</f>
        <v>2351.9100000000017</v>
      </c>
    </row>
    <row r="32" spans="2:11" x14ac:dyDescent="0.3">
      <c r="B32" s="115"/>
      <c r="D32" s="88"/>
      <c r="F32" s="198"/>
      <c r="H32" s="120"/>
      <c r="I32" s="199"/>
      <c r="K32" s="238"/>
    </row>
    <row r="33" spans="2:13" x14ac:dyDescent="0.3">
      <c r="B33" s="115" t="s">
        <v>16</v>
      </c>
      <c r="D33" s="88">
        <f>+Mechanical!F59</f>
        <v>8248.5360000000001</v>
      </c>
      <c r="F33" s="244">
        <f>+Mechanical!K59</f>
        <v>4328.8999999999996</v>
      </c>
      <c r="G33" s="245">
        <f>+Mechanical!L59</f>
        <v>3919.6360000000004</v>
      </c>
      <c r="H33" s="120">
        <f>+Mechanical!M59</f>
        <v>649.33500000000004</v>
      </c>
      <c r="I33" s="199">
        <f>+Mechanical!N59</f>
        <v>587.94540000000006</v>
      </c>
      <c r="K33" s="120">
        <f t="shared" ref="K33" si="12">+F33+G33+I33+H33-D33</f>
        <v>1237.2803999999996</v>
      </c>
    </row>
    <row r="34" spans="2:13" x14ac:dyDescent="0.3">
      <c r="B34" s="115"/>
      <c r="D34" s="88"/>
      <c r="F34" s="198"/>
      <c r="H34" s="120"/>
      <c r="I34" s="199"/>
      <c r="K34" s="238"/>
    </row>
    <row r="35" spans="2:13" ht="16.2" thickBot="1" x14ac:dyDescent="0.35">
      <c r="B35" s="116"/>
      <c r="D35" s="88"/>
      <c r="F35" s="198"/>
      <c r="H35" s="120"/>
      <c r="I35" s="199"/>
      <c r="K35" s="238"/>
      <c r="M35" s="120"/>
    </row>
    <row r="36" spans="2:13" s="121" customFormat="1" ht="30.3" customHeight="1" thickBot="1" x14ac:dyDescent="0.35">
      <c r="B36" s="117" t="s">
        <v>134</v>
      </c>
      <c r="C36" s="118"/>
      <c r="D36" s="119">
        <f>SUM(D3:D35)</f>
        <v>227763.56510000001</v>
      </c>
      <c r="E36" s="90"/>
      <c r="F36" s="247">
        <f>SUM(F6:F34)</f>
        <v>74722.091599999985</v>
      </c>
      <c r="G36" s="246">
        <f>SUM(G6:G35)</f>
        <v>142626.5165</v>
      </c>
      <c r="H36" s="266">
        <f>SUM(H6:H35)</f>
        <v>12735.923190000001</v>
      </c>
      <c r="I36" s="243">
        <f>SUM(I6:I35)</f>
        <v>21393.977475000007</v>
      </c>
      <c r="J36" s="91"/>
      <c r="K36" s="120">
        <f>+F36+G36+I36+H36-D36</f>
        <v>23714.94366499997</v>
      </c>
      <c r="L36" s="91"/>
      <c r="M36" s="91"/>
    </row>
    <row r="37" spans="2:13" x14ac:dyDescent="0.3">
      <c r="B37" s="122"/>
      <c r="D37" s="123"/>
      <c r="F37" s="198"/>
      <c r="H37" s="120"/>
      <c r="I37" s="199"/>
    </row>
    <row r="38" spans="2:13" x14ac:dyDescent="0.3">
      <c r="B38" s="115" t="s">
        <v>9</v>
      </c>
      <c r="C38" s="124"/>
      <c r="D38" s="123">
        <f>+Preliminaries!F65</f>
        <v>14550</v>
      </c>
      <c r="F38" s="198"/>
      <c r="H38" s="120"/>
      <c r="I38" s="199"/>
    </row>
    <row r="39" spans="2:13" ht="16.2" thickBot="1" x14ac:dyDescent="0.35">
      <c r="B39" s="122"/>
      <c r="D39" s="123"/>
      <c r="F39" s="198"/>
      <c r="H39" s="120"/>
      <c r="I39" s="199"/>
    </row>
    <row r="40" spans="2:13" ht="34.5" customHeight="1" thickBot="1" x14ac:dyDescent="0.35">
      <c r="B40" s="125" t="s">
        <v>135</v>
      </c>
      <c r="C40" s="118"/>
      <c r="D40" s="119">
        <f>+D38+D36</f>
        <v>242313.56510000001</v>
      </c>
      <c r="F40" s="198"/>
      <c r="I40" s="239"/>
    </row>
    <row r="41" spans="2:13" x14ac:dyDescent="0.3">
      <c r="B41" s="126"/>
      <c r="C41" s="127"/>
      <c r="D41" s="128"/>
      <c r="F41" s="198"/>
      <c r="I41" s="239"/>
    </row>
    <row r="42" spans="2:13" x14ac:dyDescent="0.3">
      <c r="B42" s="129" t="s">
        <v>136</v>
      </c>
      <c r="C42" s="130">
        <f>+Preliminaries!J4</f>
        <v>0</v>
      </c>
      <c r="D42" s="131" t="s">
        <v>137</v>
      </c>
      <c r="F42" s="198"/>
      <c r="I42" s="239"/>
    </row>
    <row r="43" spans="2:13" ht="16.2" thickBot="1" x14ac:dyDescent="0.35">
      <c r="B43" s="132"/>
      <c r="C43" s="133"/>
      <c r="D43" s="89"/>
      <c r="F43" s="240"/>
      <c r="G43" s="241"/>
      <c r="H43" s="268"/>
      <c r="I43" s="242"/>
    </row>
    <row r="52" spans="2:13" s="90" customFormat="1" x14ac:dyDescent="0.3">
      <c r="B52" s="134"/>
      <c r="C52" s="135"/>
      <c r="D52" s="136"/>
      <c r="F52" s="120"/>
      <c r="G52" s="120"/>
      <c r="H52" s="238"/>
      <c r="I52" s="238"/>
      <c r="J52" s="91"/>
      <c r="K52" s="91"/>
      <c r="L52" s="91"/>
      <c r="M52" s="91"/>
    </row>
    <row r="53" spans="2:13" s="90" customFormat="1" x14ac:dyDescent="0.3">
      <c r="B53" s="134"/>
      <c r="C53" s="135"/>
      <c r="D53" s="136"/>
      <c r="F53" s="120"/>
      <c r="G53" s="120"/>
      <c r="H53" s="238"/>
      <c r="I53" s="238"/>
      <c r="J53" s="91"/>
      <c r="K53" s="91"/>
      <c r="L53" s="91"/>
      <c r="M53" s="91"/>
    </row>
    <row r="54" spans="2:13" s="90" customFormat="1" x14ac:dyDescent="0.3">
      <c r="B54" s="134"/>
      <c r="C54" s="135"/>
      <c r="D54" s="136"/>
      <c r="F54" s="120"/>
      <c r="G54" s="120"/>
      <c r="H54" s="238"/>
      <c r="I54" s="238"/>
      <c r="J54" s="91"/>
      <c r="K54" s="91"/>
      <c r="L54" s="91"/>
      <c r="M54" s="91"/>
    </row>
    <row r="55" spans="2:13" s="90" customFormat="1" x14ac:dyDescent="0.3">
      <c r="B55" s="137"/>
      <c r="C55" s="87"/>
      <c r="D55" s="92"/>
      <c r="F55" s="120"/>
      <c r="G55" s="120"/>
      <c r="H55" s="238"/>
      <c r="I55" s="238"/>
      <c r="J55" s="91"/>
      <c r="K55" s="91"/>
      <c r="L55" s="91"/>
      <c r="M55" s="91"/>
    </row>
    <row r="56" spans="2:13" s="90" customFormat="1" x14ac:dyDescent="0.3">
      <c r="B56" s="138"/>
      <c r="C56" s="139"/>
      <c r="D56" s="140"/>
      <c r="F56" s="120"/>
      <c r="G56" s="120"/>
      <c r="H56" s="238"/>
      <c r="I56" s="238"/>
      <c r="J56" s="91"/>
      <c r="K56" s="91"/>
      <c r="L56" s="91"/>
      <c r="M56" s="91"/>
    </row>
    <row r="58" spans="2:13" s="90" customFormat="1" x14ac:dyDescent="0.3">
      <c r="B58" s="138"/>
      <c r="C58" s="139"/>
      <c r="D58" s="140"/>
      <c r="F58" s="120"/>
      <c r="G58" s="120"/>
      <c r="H58" s="238"/>
      <c r="I58" s="238"/>
      <c r="J58" s="91"/>
      <c r="K58" s="91"/>
      <c r="L58" s="91"/>
      <c r="M58" s="91"/>
    </row>
    <row r="61" spans="2:13" s="90" customFormat="1" x14ac:dyDescent="0.3">
      <c r="B61" s="138"/>
      <c r="C61" s="139"/>
      <c r="D61" s="140"/>
      <c r="F61" s="120"/>
      <c r="G61" s="120"/>
      <c r="H61" s="238"/>
      <c r="I61" s="238"/>
      <c r="J61" s="91"/>
      <c r="K61" s="91"/>
      <c r="L61" s="91"/>
      <c r="M61" s="91"/>
    </row>
    <row r="62" spans="2:13" s="90" customFormat="1" x14ac:dyDescent="0.3">
      <c r="B62" s="141"/>
      <c r="C62" s="142"/>
      <c r="D62" s="143"/>
      <c r="F62" s="120"/>
      <c r="G62" s="120"/>
      <c r="H62" s="238"/>
      <c r="I62" s="238"/>
      <c r="J62" s="91"/>
      <c r="K62" s="91"/>
      <c r="L62" s="91"/>
      <c r="M62" s="91"/>
    </row>
    <row r="64" spans="2:13" s="90" customFormat="1" x14ac:dyDescent="0.3">
      <c r="B64" s="137"/>
      <c r="C64" s="87"/>
      <c r="D64" s="92"/>
      <c r="F64" s="120"/>
      <c r="G64" s="120"/>
      <c r="H64" s="238"/>
      <c r="I64" s="238"/>
      <c r="J64" s="91"/>
      <c r="K64" s="91"/>
      <c r="L64" s="91"/>
      <c r="M64" s="91"/>
    </row>
  </sheetData>
  <mergeCells count="3">
    <mergeCell ref="B5:D5"/>
    <mergeCell ref="F4:I4"/>
    <mergeCell ref="L5:M5"/>
  </mergeCells>
  <conditionalFormatting sqref="K7 K9 K11 K13 K15 K17 K19 K21 K23 K25 K27 K29 K31 K33">
    <cfRule type="cellIs" dxfId="121" priority="9" operator="equal">
      <formula>0</formula>
    </cfRule>
    <cfRule type="cellIs" dxfId="120" priority="10" operator="notEqual">
      <formula>0</formula>
    </cfRule>
  </conditionalFormatting>
  <conditionalFormatting sqref="K36">
    <cfRule type="cellIs" dxfId="119" priority="7" operator="equal">
      <formula>0</formula>
    </cfRule>
    <cfRule type="cellIs" dxfId="118" priority="8" operator="notEqual">
      <formula>0</formula>
    </cfRule>
  </conditionalFormatting>
  <conditionalFormatting sqref="L5">
    <cfRule type="containsText" dxfId="117" priority="2" operator="containsText" text="No Missing Sheets">
      <formula>NOT(ISERROR(SEARCH("No Missing Sheets",L5)))</formula>
    </cfRule>
  </conditionalFormatting>
  <conditionalFormatting sqref="L5:M5">
    <cfRule type="cellIs" dxfId="116" priority="1" operator="notEqual">
      <formula>"No Missing Sheets"</formula>
    </cfRule>
  </conditionalFormatting>
  <printOptions horizontalCentered="1"/>
  <pageMargins left="0.15748031496062992" right="0.15748031496062992" top="0.98425196850393704" bottom="0.98425196850393704" header="0.51181102362204722" footer="0.51181102362204722"/>
  <pageSetup paperSize="9" scale="91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3">
    <pageSetUpPr fitToPage="1"/>
  </sheetPr>
  <dimension ref="A1:S53"/>
  <sheetViews>
    <sheetView zoomScale="75" zoomScaleNormal="55" workbookViewId="0">
      <selection activeCell="E9" sqref="E9"/>
    </sheetView>
  </sheetViews>
  <sheetFormatPr defaultColWidth="9.109375" defaultRowHeight="15.6" x14ac:dyDescent="0.3"/>
  <cols>
    <col min="1" max="1" width="5.44140625" style="16" customWidth="1"/>
    <col min="2" max="2" width="78.33203125" style="21" bestFit="1" customWidth="1"/>
    <col min="3" max="3" width="12.44140625" style="32" customWidth="1"/>
    <col min="4" max="4" width="8.6640625" style="16" customWidth="1"/>
    <col min="5" max="6" width="15.6640625" style="20" customWidth="1"/>
    <col min="7" max="9" width="14.33203125" style="20" customWidth="1"/>
    <col min="10" max="10" width="14.33203125" style="16" customWidth="1"/>
    <col min="11" max="14" width="15.6640625" style="16" customWidth="1"/>
    <col min="15" max="15" width="12.44140625" style="145" customWidth="1"/>
    <col min="16" max="16" width="12.44140625" style="72" customWidth="1"/>
    <col min="17" max="17" width="12.44140625" style="20" customWidth="1"/>
    <col min="18" max="18" width="10.44140625" style="16" bestFit="1" customWidth="1"/>
    <col min="19" max="16384" width="9.109375" style="16"/>
  </cols>
  <sheetData>
    <row r="1" spans="1:17" x14ac:dyDescent="0.3">
      <c r="A1" s="29"/>
      <c r="B1" s="23"/>
      <c r="C1" s="31"/>
      <c r="D1" s="24"/>
      <c r="E1" s="33"/>
      <c r="F1" s="34"/>
      <c r="G1" s="33"/>
      <c r="H1" s="33"/>
      <c r="I1" s="33"/>
      <c r="J1" s="24"/>
    </row>
    <row r="2" spans="1:17" x14ac:dyDescent="0.3">
      <c r="A2" s="15"/>
      <c r="B2" s="3" t="str">
        <f>+'Qual, Excl &amp; Assum'!B2</f>
        <v>PROJECT: Mr &amp; Mrs Hawkes-Cowands House</v>
      </c>
      <c r="F2" s="35"/>
    </row>
    <row r="3" spans="1:17" x14ac:dyDescent="0.3">
      <c r="A3" s="15"/>
      <c r="B3" s="53" t="str">
        <f>+'Qual, Excl &amp; Assum'!B3</f>
        <v>DATE: 25TH SEPTEMBER 2025</v>
      </c>
      <c r="F3" s="35"/>
    </row>
    <row r="4" spans="1:17" s="21" customFormat="1" ht="16.2" thickBot="1" x14ac:dyDescent="0.35">
      <c r="A4" s="15"/>
      <c r="B4" s="22"/>
      <c r="C4" s="32"/>
      <c r="E4" s="36"/>
      <c r="F4" s="37"/>
      <c r="G4" s="36"/>
      <c r="H4" s="36"/>
      <c r="I4" s="36"/>
      <c r="O4" s="145"/>
      <c r="P4" s="72"/>
      <c r="Q4" s="20"/>
    </row>
    <row r="5" spans="1:17" s="21" customFormat="1" ht="38.25" customHeight="1" thickBot="1" x14ac:dyDescent="0.45">
      <c r="A5" s="192"/>
      <c r="B5" s="196" t="s">
        <v>15</v>
      </c>
      <c r="C5" s="193"/>
      <c r="D5" s="194"/>
      <c r="E5" s="195"/>
      <c r="F5" s="200"/>
      <c r="G5" s="370" t="s">
        <v>138</v>
      </c>
      <c r="H5" s="371"/>
      <c r="I5" s="371"/>
      <c r="J5" s="372"/>
      <c r="K5" s="370" t="s">
        <v>139</v>
      </c>
      <c r="L5" s="371"/>
      <c r="M5" s="371"/>
      <c r="N5" s="372"/>
      <c r="O5" s="145"/>
      <c r="P5" s="72"/>
      <c r="Q5" s="20"/>
    </row>
    <row r="6" spans="1:17" s="21" customFormat="1" ht="18" x14ac:dyDescent="0.35">
      <c r="A6" s="49"/>
      <c r="B6" s="38"/>
      <c r="C6" s="146"/>
      <c r="D6" s="38"/>
      <c r="E6" s="64"/>
      <c r="F6" s="201"/>
      <c r="G6" s="255"/>
      <c r="H6" s="64"/>
      <c r="I6" s="64"/>
      <c r="J6" s="206"/>
      <c r="K6" s="208"/>
      <c r="L6" s="38"/>
      <c r="M6" s="38"/>
      <c r="N6" s="206"/>
      <c r="O6" s="145"/>
      <c r="P6" s="72"/>
      <c r="Q6" s="20"/>
    </row>
    <row r="7" spans="1:17" s="21" customFormat="1" ht="18" x14ac:dyDescent="0.35">
      <c r="A7" s="49"/>
      <c r="B7" s="3" t="s">
        <v>3</v>
      </c>
      <c r="C7" s="263" t="s">
        <v>8</v>
      </c>
      <c r="D7" s="264" t="s">
        <v>2</v>
      </c>
      <c r="E7" s="54" t="s">
        <v>1</v>
      </c>
      <c r="F7" s="265" t="s">
        <v>0</v>
      </c>
      <c r="G7" s="266" t="s">
        <v>34</v>
      </c>
      <c r="H7" s="266" t="s">
        <v>35</v>
      </c>
      <c r="I7" s="266" t="s">
        <v>177</v>
      </c>
      <c r="J7" s="267" t="s">
        <v>178</v>
      </c>
      <c r="K7" s="266" t="s">
        <v>34</v>
      </c>
      <c r="L7" s="266" t="s">
        <v>35</v>
      </c>
      <c r="M7" s="266" t="s">
        <v>177</v>
      </c>
      <c r="N7" s="267" t="s">
        <v>178</v>
      </c>
      <c r="O7" s="150"/>
      <c r="P7" s="197"/>
      <c r="Q7" s="54"/>
    </row>
    <row r="8" spans="1:17" s="21" customFormat="1" ht="18" x14ac:dyDescent="0.35">
      <c r="A8" s="49"/>
      <c r="B8" s="151"/>
      <c r="C8" s="149"/>
      <c r="D8" s="61"/>
      <c r="E8" s="62"/>
      <c r="F8" s="202"/>
      <c r="G8" s="256"/>
      <c r="H8" s="62"/>
      <c r="I8" s="62"/>
      <c r="J8" s="207"/>
      <c r="K8" s="209"/>
      <c r="L8" s="61"/>
      <c r="M8" s="61"/>
      <c r="N8" s="203" t="str">
        <f t="shared" ref="N8" si="0">IF(D8=0," ",(J8*C8))</f>
        <v xml:space="preserve"> </v>
      </c>
      <c r="O8" s="145"/>
      <c r="P8" s="72"/>
      <c r="Q8" s="20"/>
    </row>
    <row r="9" spans="1:17" s="21" customFormat="1" ht="18" x14ac:dyDescent="0.35">
      <c r="A9" s="49">
        <v>1</v>
      </c>
      <c r="B9" s="153" t="s">
        <v>243</v>
      </c>
      <c r="C9" s="146">
        <v>7</v>
      </c>
      <c r="D9" s="51" t="s">
        <v>263</v>
      </c>
      <c r="E9" s="48">
        <f>G9+H9</f>
        <v>110</v>
      </c>
      <c r="F9" s="203">
        <f>E9*C9</f>
        <v>770</v>
      </c>
      <c r="G9" s="59">
        <v>110</v>
      </c>
      <c r="H9" s="48"/>
      <c r="I9" s="48">
        <f>IF(D9=0," ",(G9)*(Details!$C$4+Details!$C$8))</f>
        <v>16.500000000000004</v>
      </c>
      <c r="J9" s="203">
        <f>IF(D9=0," ",(H9)*(Details!$C$6+Details!$C$8))</f>
        <v>0</v>
      </c>
      <c r="K9" s="59">
        <f>+G9*C9</f>
        <v>770</v>
      </c>
      <c r="L9" s="48">
        <f>+H9*C9</f>
        <v>0</v>
      </c>
      <c r="M9" s="48">
        <f>IF(D9=0," ",(I9*C9))</f>
        <v>115.50000000000003</v>
      </c>
      <c r="N9" s="203">
        <f>IF(D9=0," ",(J9*C9))</f>
        <v>0</v>
      </c>
      <c r="O9" s="145"/>
      <c r="P9" s="72"/>
      <c r="Q9" s="20"/>
    </row>
    <row r="10" spans="1:17" s="21" customFormat="1" ht="18" x14ac:dyDescent="0.35">
      <c r="A10" s="49"/>
      <c r="B10" s="153"/>
      <c r="C10" s="146"/>
      <c r="D10" s="51"/>
      <c r="E10" s="48"/>
      <c r="F10" s="203"/>
      <c r="G10" s="59"/>
      <c r="H10" s="48"/>
      <c r="I10" s="48"/>
      <c r="J10" s="203"/>
      <c r="K10" s="59"/>
      <c r="L10" s="48"/>
      <c r="M10" s="48"/>
      <c r="N10" s="203"/>
      <c r="O10" s="145"/>
      <c r="P10" s="72"/>
      <c r="Q10" s="20"/>
    </row>
    <row r="11" spans="1:17" s="21" customFormat="1" ht="18" x14ac:dyDescent="0.35">
      <c r="A11" s="49">
        <v>2</v>
      </c>
      <c r="B11" s="153" t="s">
        <v>234</v>
      </c>
      <c r="C11" s="146">
        <v>4</v>
      </c>
      <c r="D11" s="51" t="s">
        <v>263</v>
      </c>
      <c r="E11" s="48">
        <f t="shared" ref="E11:E49" si="1">G11+H11</f>
        <v>90</v>
      </c>
      <c r="F11" s="203">
        <f t="shared" ref="F11:F39" si="2">E11*C11</f>
        <v>360</v>
      </c>
      <c r="G11" s="59">
        <v>90</v>
      </c>
      <c r="H11" s="48"/>
      <c r="I11" s="48">
        <f>IF(D11=0," ",(G11)*(Details!$C$4+Details!$C$8))</f>
        <v>13.500000000000002</v>
      </c>
      <c r="J11" s="203">
        <f>IF(D11=0," ",(H11)*(Details!$C$6+Details!$C$8))</f>
        <v>0</v>
      </c>
      <c r="K11" s="59">
        <f t="shared" ref="K11:K39" si="3">+G11*C11</f>
        <v>360</v>
      </c>
      <c r="L11" s="48">
        <f t="shared" ref="L11:L39" si="4">+H11*C11</f>
        <v>0</v>
      </c>
      <c r="M11" s="48">
        <f t="shared" ref="M11:M39" si="5">IF(D11=0," ",(I11*C11))</f>
        <v>54.000000000000007</v>
      </c>
      <c r="N11" s="203">
        <f t="shared" ref="N11:N39" si="6">IF(D11=0," ",(J11*C11))</f>
        <v>0</v>
      </c>
      <c r="O11" s="145"/>
      <c r="P11" s="72"/>
      <c r="Q11" s="20"/>
    </row>
    <row r="12" spans="1:17" s="21" customFormat="1" ht="18" x14ac:dyDescent="0.35">
      <c r="A12" s="49"/>
      <c r="B12" s="153"/>
      <c r="C12" s="146"/>
      <c r="D12" s="51"/>
      <c r="E12" s="48"/>
      <c r="F12" s="203"/>
      <c r="G12" s="59"/>
      <c r="H12" s="48"/>
      <c r="I12" s="48"/>
      <c r="J12" s="203"/>
      <c r="K12" s="59"/>
      <c r="L12" s="48"/>
      <c r="M12" s="48"/>
      <c r="N12" s="203"/>
      <c r="O12" s="145"/>
      <c r="P12" s="72"/>
      <c r="Q12" s="20"/>
    </row>
    <row r="13" spans="1:17" s="21" customFormat="1" ht="18" x14ac:dyDescent="0.35">
      <c r="A13" s="49">
        <v>3</v>
      </c>
      <c r="B13" s="153" t="s">
        <v>244</v>
      </c>
      <c r="C13" s="146">
        <v>1</v>
      </c>
      <c r="D13" s="51" t="s">
        <v>263</v>
      </c>
      <c r="E13" s="48">
        <f t="shared" si="1"/>
        <v>160</v>
      </c>
      <c r="F13" s="203">
        <f t="shared" si="2"/>
        <v>160</v>
      </c>
      <c r="G13" s="59">
        <v>160</v>
      </c>
      <c r="H13" s="48"/>
      <c r="I13" s="48">
        <f>IF(D13=0," ",(G13)*(Details!$C$4+Details!$C$8))</f>
        <v>24.000000000000004</v>
      </c>
      <c r="J13" s="203">
        <f>IF(D13=0," ",(H13)*(Details!$C$6+Details!$C$8))</f>
        <v>0</v>
      </c>
      <c r="K13" s="59">
        <f t="shared" si="3"/>
        <v>160</v>
      </c>
      <c r="L13" s="48">
        <f t="shared" si="4"/>
        <v>0</v>
      </c>
      <c r="M13" s="48">
        <f t="shared" si="5"/>
        <v>24.000000000000004</v>
      </c>
      <c r="N13" s="203">
        <f t="shared" si="6"/>
        <v>0</v>
      </c>
      <c r="O13" s="145"/>
      <c r="P13" s="72"/>
      <c r="Q13" s="20"/>
    </row>
    <row r="14" spans="1:17" s="21" customFormat="1" ht="18" x14ac:dyDescent="0.35">
      <c r="A14" s="49"/>
      <c r="B14" s="153"/>
      <c r="C14" s="146"/>
      <c r="D14" s="51"/>
      <c r="E14" s="48"/>
      <c r="F14" s="203"/>
      <c r="G14" s="59"/>
      <c r="H14" s="48"/>
      <c r="I14" s="48"/>
      <c r="J14" s="203"/>
      <c r="K14" s="59"/>
      <c r="L14" s="48"/>
      <c r="M14" s="48"/>
      <c r="N14" s="203"/>
      <c r="O14" s="145"/>
      <c r="P14" s="72"/>
      <c r="Q14" s="20"/>
    </row>
    <row r="15" spans="1:17" s="21" customFormat="1" ht="18" x14ac:dyDescent="0.35">
      <c r="A15" s="49">
        <v>4</v>
      </c>
      <c r="B15" s="153" t="s">
        <v>245</v>
      </c>
      <c r="C15" s="146">
        <v>1</v>
      </c>
      <c r="D15" s="51" t="s">
        <v>263</v>
      </c>
      <c r="E15" s="48">
        <f t="shared" si="1"/>
        <v>110</v>
      </c>
      <c r="F15" s="203">
        <f t="shared" si="2"/>
        <v>110</v>
      </c>
      <c r="G15" s="59">
        <v>110</v>
      </c>
      <c r="H15" s="48"/>
      <c r="I15" s="48">
        <f>IF(D15=0," ",(G15)*(Details!$C$4+Details!$C$8))</f>
        <v>16.500000000000004</v>
      </c>
      <c r="J15" s="203">
        <f>IF(D15=0," ",(H15)*(Details!$C$6+Details!$C$8))</f>
        <v>0</v>
      </c>
      <c r="K15" s="59">
        <f t="shared" si="3"/>
        <v>110</v>
      </c>
      <c r="L15" s="48">
        <f t="shared" si="4"/>
        <v>0</v>
      </c>
      <c r="M15" s="48">
        <f t="shared" si="5"/>
        <v>16.500000000000004</v>
      </c>
      <c r="N15" s="203">
        <f t="shared" si="6"/>
        <v>0</v>
      </c>
      <c r="O15" s="145"/>
      <c r="P15" s="72"/>
      <c r="Q15" s="20"/>
    </row>
    <row r="16" spans="1:17" s="21" customFormat="1" ht="18" x14ac:dyDescent="0.35">
      <c r="A16" s="49"/>
      <c r="B16" s="153"/>
      <c r="C16" s="146"/>
      <c r="D16" s="51"/>
      <c r="E16" s="48"/>
      <c r="F16" s="203"/>
      <c r="G16" s="59"/>
      <c r="H16" s="48"/>
      <c r="I16" s="48"/>
      <c r="J16" s="203"/>
      <c r="K16" s="59"/>
      <c r="L16" s="48"/>
      <c r="M16" s="48"/>
      <c r="N16" s="203"/>
      <c r="O16" s="145"/>
      <c r="P16" s="72"/>
      <c r="Q16" s="20"/>
    </row>
    <row r="17" spans="1:17" s="21" customFormat="1" ht="18" x14ac:dyDescent="0.35">
      <c r="A17" s="49">
        <v>5</v>
      </c>
      <c r="B17" s="153" t="s">
        <v>246</v>
      </c>
      <c r="C17" s="146">
        <v>11</v>
      </c>
      <c r="D17" s="51" t="s">
        <v>263</v>
      </c>
      <c r="E17" s="48">
        <f t="shared" si="1"/>
        <v>90</v>
      </c>
      <c r="F17" s="203">
        <f t="shared" si="2"/>
        <v>990</v>
      </c>
      <c r="G17" s="59">
        <v>90</v>
      </c>
      <c r="H17" s="48"/>
      <c r="I17" s="48">
        <f>IF(D17=0," ",(G17)*(Details!$C$4+Details!$C$8))</f>
        <v>13.500000000000002</v>
      </c>
      <c r="J17" s="203">
        <f>IF(D17=0," ",(H17)*(Details!$C$6+Details!$C$8))</f>
        <v>0</v>
      </c>
      <c r="K17" s="59">
        <f t="shared" si="3"/>
        <v>990</v>
      </c>
      <c r="L17" s="48">
        <f t="shared" si="4"/>
        <v>0</v>
      </c>
      <c r="M17" s="48">
        <f t="shared" si="5"/>
        <v>148.50000000000003</v>
      </c>
      <c r="N17" s="203">
        <f t="shared" si="6"/>
        <v>0</v>
      </c>
      <c r="O17" s="145"/>
      <c r="P17" s="72"/>
      <c r="Q17" s="20"/>
    </row>
    <row r="18" spans="1:17" s="21" customFormat="1" ht="18" x14ac:dyDescent="0.35">
      <c r="A18" s="49"/>
      <c r="B18" s="153"/>
      <c r="C18" s="146"/>
      <c r="D18" s="51"/>
      <c r="E18" s="48"/>
      <c r="F18" s="203"/>
      <c r="G18" s="59"/>
      <c r="H18" s="48"/>
      <c r="I18" s="48"/>
      <c r="J18" s="203"/>
      <c r="K18" s="59"/>
      <c r="L18" s="48"/>
      <c r="M18" s="48"/>
      <c r="N18" s="203"/>
      <c r="O18" s="145"/>
      <c r="P18" s="72"/>
      <c r="Q18" s="20"/>
    </row>
    <row r="19" spans="1:17" s="21" customFormat="1" ht="18" x14ac:dyDescent="0.35">
      <c r="A19" s="49">
        <v>6</v>
      </c>
      <c r="B19" s="153" t="s">
        <v>247</v>
      </c>
      <c r="C19" s="146">
        <v>3</v>
      </c>
      <c r="D19" s="51" t="s">
        <v>263</v>
      </c>
      <c r="E19" s="48">
        <f t="shared" si="1"/>
        <v>90</v>
      </c>
      <c r="F19" s="203">
        <f t="shared" si="2"/>
        <v>270</v>
      </c>
      <c r="G19" s="59">
        <v>90</v>
      </c>
      <c r="H19" s="48"/>
      <c r="I19" s="48">
        <f>IF(D19=0," ",(G19)*(Details!$C$4+Details!$C$8))</f>
        <v>13.500000000000002</v>
      </c>
      <c r="J19" s="203">
        <f>IF(D19=0," ",(H19)*(Details!$C$6+Details!$C$8))</f>
        <v>0</v>
      </c>
      <c r="K19" s="59">
        <f t="shared" si="3"/>
        <v>270</v>
      </c>
      <c r="L19" s="48">
        <f t="shared" si="4"/>
        <v>0</v>
      </c>
      <c r="M19" s="48">
        <f t="shared" si="5"/>
        <v>40.500000000000007</v>
      </c>
      <c r="N19" s="203">
        <f t="shared" si="6"/>
        <v>0</v>
      </c>
      <c r="O19" s="145"/>
      <c r="P19" s="72"/>
      <c r="Q19" s="20"/>
    </row>
    <row r="20" spans="1:17" s="21" customFormat="1" ht="18" x14ac:dyDescent="0.35">
      <c r="A20" s="49"/>
      <c r="B20" s="153"/>
      <c r="C20" s="146"/>
      <c r="D20" s="51"/>
      <c r="E20" s="48"/>
      <c r="F20" s="203"/>
      <c r="G20" s="59"/>
      <c r="H20" s="48"/>
      <c r="I20" s="48"/>
      <c r="J20" s="203"/>
      <c r="K20" s="59"/>
      <c r="L20" s="48"/>
      <c r="M20" s="48"/>
      <c r="N20" s="203"/>
      <c r="O20" s="145"/>
      <c r="P20" s="72"/>
      <c r="Q20" s="20"/>
    </row>
    <row r="21" spans="1:17" s="21" customFormat="1" ht="18" x14ac:dyDescent="0.35">
      <c r="A21" s="49">
        <v>7</v>
      </c>
      <c r="B21" s="153" t="s">
        <v>248</v>
      </c>
      <c r="C21" s="146">
        <v>18</v>
      </c>
      <c r="D21" s="51" t="s">
        <v>263</v>
      </c>
      <c r="E21" s="48">
        <f t="shared" si="1"/>
        <v>90</v>
      </c>
      <c r="F21" s="203">
        <f t="shared" si="2"/>
        <v>1620</v>
      </c>
      <c r="G21" s="59">
        <v>90</v>
      </c>
      <c r="H21" s="48"/>
      <c r="I21" s="48">
        <f>IF(D21=0," ",(G21)*(Details!$C$4+Details!$C$8))</f>
        <v>13.500000000000002</v>
      </c>
      <c r="J21" s="203">
        <f>IF(D21=0," ",(H21)*(Details!$C$6+Details!$C$8))</f>
        <v>0</v>
      </c>
      <c r="K21" s="59">
        <f t="shared" si="3"/>
        <v>1620</v>
      </c>
      <c r="L21" s="48">
        <f t="shared" si="4"/>
        <v>0</v>
      </c>
      <c r="M21" s="48">
        <f t="shared" si="5"/>
        <v>243.00000000000003</v>
      </c>
      <c r="N21" s="203">
        <f t="shared" si="6"/>
        <v>0</v>
      </c>
      <c r="O21" s="145"/>
      <c r="P21" s="72"/>
      <c r="Q21" s="20"/>
    </row>
    <row r="22" spans="1:17" s="21" customFormat="1" ht="18" x14ac:dyDescent="0.35">
      <c r="A22" s="49"/>
      <c r="B22" s="153"/>
      <c r="C22" s="146"/>
      <c r="D22" s="51"/>
      <c r="E22" s="48"/>
      <c r="F22" s="203"/>
      <c r="G22" s="59"/>
      <c r="H22" s="48"/>
      <c r="I22" s="48"/>
      <c r="J22" s="203"/>
      <c r="K22" s="59"/>
      <c r="L22" s="48"/>
      <c r="M22" s="48"/>
      <c r="N22" s="203"/>
      <c r="O22" s="145"/>
      <c r="P22" s="72"/>
      <c r="Q22" s="20"/>
    </row>
    <row r="23" spans="1:17" s="21" customFormat="1" ht="18" x14ac:dyDescent="0.35">
      <c r="A23" s="49">
        <v>8</v>
      </c>
      <c r="B23" s="153" t="s">
        <v>249</v>
      </c>
      <c r="C23" s="146">
        <v>2</v>
      </c>
      <c r="D23" s="51" t="s">
        <v>263</v>
      </c>
      <c r="E23" s="48">
        <f t="shared" si="1"/>
        <v>110</v>
      </c>
      <c r="F23" s="203">
        <f t="shared" si="2"/>
        <v>220</v>
      </c>
      <c r="G23" s="59">
        <v>110</v>
      </c>
      <c r="H23" s="48"/>
      <c r="I23" s="48">
        <f>IF(D23=0," ",(G23)*(Details!$C$4+Details!$C$8))</f>
        <v>16.500000000000004</v>
      </c>
      <c r="J23" s="203">
        <f>IF(D23=0," ",(H23)*(Details!$C$6+Details!$C$8))</f>
        <v>0</v>
      </c>
      <c r="K23" s="59">
        <f t="shared" si="3"/>
        <v>220</v>
      </c>
      <c r="L23" s="48">
        <f t="shared" si="4"/>
        <v>0</v>
      </c>
      <c r="M23" s="48">
        <f t="shared" si="5"/>
        <v>33.000000000000007</v>
      </c>
      <c r="N23" s="203">
        <f t="shared" si="6"/>
        <v>0</v>
      </c>
      <c r="O23" s="145"/>
      <c r="P23" s="72"/>
      <c r="Q23" s="20"/>
    </row>
    <row r="24" spans="1:17" s="21" customFormat="1" ht="18" x14ac:dyDescent="0.35">
      <c r="A24" s="49"/>
      <c r="B24" s="153"/>
      <c r="C24" s="146"/>
      <c r="D24" s="51"/>
      <c r="E24" s="48"/>
      <c r="F24" s="203"/>
      <c r="G24" s="59"/>
      <c r="H24" s="48"/>
      <c r="I24" s="48"/>
      <c r="J24" s="203"/>
      <c r="K24" s="59"/>
      <c r="L24" s="48"/>
      <c r="M24" s="48"/>
      <c r="N24" s="203"/>
      <c r="O24" s="145"/>
      <c r="P24" s="72"/>
      <c r="Q24" s="20"/>
    </row>
    <row r="25" spans="1:17" s="21" customFormat="1" ht="18" x14ac:dyDescent="0.35">
      <c r="A25" s="49">
        <v>9</v>
      </c>
      <c r="B25" s="153" t="s">
        <v>250</v>
      </c>
      <c r="C25" s="146">
        <v>1</v>
      </c>
      <c r="D25" s="51" t="s">
        <v>263</v>
      </c>
      <c r="E25" s="48">
        <f t="shared" si="1"/>
        <v>180</v>
      </c>
      <c r="F25" s="203">
        <f t="shared" si="2"/>
        <v>180</v>
      </c>
      <c r="G25" s="59">
        <v>180</v>
      </c>
      <c r="H25" s="48"/>
      <c r="I25" s="48">
        <f>IF(D25=0," ",(G25)*(Details!$C$4+Details!$C$8))</f>
        <v>27.000000000000004</v>
      </c>
      <c r="J25" s="203">
        <f>IF(D25=0," ",(H25)*(Details!$C$6+Details!$C$8))</f>
        <v>0</v>
      </c>
      <c r="K25" s="59">
        <f t="shared" si="3"/>
        <v>180</v>
      </c>
      <c r="L25" s="48">
        <f t="shared" si="4"/>
        <v>0</v>
      </c>
      <c r="M25" s="48">
        <f t="shared" si="5"/>
        <v>27.000000000000004</v>
      </c>
      <c r="N25" s="203">
        <f t="shared" si="6"/>
        <v>0</v>
      </c>
      <c r="O25" s="145"/>
      <c r="P25" s="72"/>
      <c r="Q25" s="20"/>
    </row>
    <row r="26" spans="1:17" s="21" customFormat="1" ht="18" x14ac:dyDescent="0.35">
      <c r="A26" s="49"/>
      <c r="B26" s="153"/>
      <c r="C26" s="146"/>
      <c r="D26" s="51"/>
      <c r="E26" s="48"/>
      <c r="F26" s="203"/>
      <c r="G26" s="59"/>
      <c r="H26" s="48"/>
      <c r="I26" s="48"/>
      <c r="J26" s="203"/>
      <c r="K26" s="59"/>
      <c r="L26" s="48"/>
      <c r="M26" s="48"/>
      <c r="N26" s="203"/>
      <c r="O26" s="145"/>
      <c r="P26" s="72"/>
      <c r="Q26" s="20"/>
    </row>
    <row r="27" spans="1:17" s="21" customFormat="1" ht="18" x14ac:dyDescent="0.35">
      <c r="A27" s="49">
        <v>10</v>
      </c>
      <c r="B27" s="153" t="s">
        <v>251</v>
      </c>
      <c r="C27" s="146">
        <v>35.525000000000006</v>
      </c>
      <c r="D27" s="51" t="s">
        <v>10</v>
      </c>
      <c r="E27" s="48">
        <f t="shared" si="1"/>
        <v>23.4</v>
      </c>
      <c r="F27" s="203">
        <f t="shared" si="2"/>
        <v>831.28500000000008</v>
      </c>
      <c r="G27" s="59">
        <v>23.4</v>
      </c>
      <c r="H27" s="48"/>
      <c r="I27" s="48">
        <f>IF(D27=0," ",(G27)*(Details!$C$4+Details!$C$8))</f>
        <v>3.5100000000000002</v>
      </c>
      <c r="J27" s="203">
        <f>IF(D27=0," ",(H27)*(Details!$C$6+Details!$C$8))</f>
        <v>0</v>
      </c>
      <c r="K27" s="59">
        <f t="shared" si="3"/>
        <v>831.28500000000008</v>
      </c>
      <c r="L27" s="48">
        <f t="shared" si="4"/>
        <v>0</v>
      </c>
      <c r="M27" s="48">
        <f t="shared" si="5"/>
        <v>124.69275000000003</v>
      </c>
      <c r="N27" s="203">
        <f t="shared" si="6"/>
        <v>0</v>
      </c>
      <c r="O27" s="145"/>
      <c r="P27" s="72"/>
      <c r="Q27" s="20"/>
    </row>
    <row r="28" spans="1:17" s="21" customFormat="1" ht="18" x14ac:dyDescent="0.35">
      <c r="A28" s="49"/>
      <c r="B28" s="153"/>
      <c r="C28" s="146"/>
      <c r="D28" s="51"/>
      <c r="E28" s="48"/>
      <c r="F28" s="203"/>
      <c r="G28" s="59"/>
      <c r="H28" s="48"/>
      <c r="I28" s="48"/>
      <c r="J28" s="203"/>
      <c r="K28" s="59"/>
      <c r="L28" s="48"/>
      <c r="M28" s="48"/>
      <c r="N28" s="203"/>
      <c r="O28" s="145"/>
      <c r="P28" s="72"/>
      <c r="Q28" s="20"/>
    </row>
    <row r="29" spans="1:17" s="21" customFormat="1" ht="18" x14ac:dyDescent="0.35">
      <c r="A29" s="49">
        <v>11</v>
      </c>
      <c r="B29" s="153" t="s">
        <v>252</v>
      </c>
      <c r="C29" s="146">
        <v>42.095999999999997</v>
      </c>
      <c r="D29" s="51" t="s">
        <v>10</v>
      </c>
      <c r="E29" s="48">
        <f t="shared" si="1"/>
        <v>32.4</v>
      </c>
      <c r="F29" s="203">
        <f t="shared" si="2"/>
        <v>1363.9103999999998</v>
      </c>
      <c r="G29" s="59">
        <v>32.4</v>
      </c>
      <c r="H29" s="48"/>
      <c r="I29" s="48">
        <f>IF(D29=0," ",(G29)*(Details!$C$4+Details!$C$8))</f>
        <v>4.8600000000000003</v>
      </c>
      <c r="J29" s="203">
        <f>IF(D29=0," ",(H29)*(Details!$C$6+Details!$C$8))</f>
        <v>0</v>
      </c>
      <c r="K29" s="59">
        <f t="shared" si="3"/>
        <v>1363.9103999999998</v>
      </c>
      <c r="L29" s="48">
        <f t="shared" si="4"/>
        <v>0</v>
      </c>
      <c r="M29" s="48">
        <f t="shared" si="5"/>
        <v>204.58655999999999</v>
      </c>
      <c r="N29" s="203">
        <f t="shared" si="6"/>
        <v>0</v>
      </c>
      <c r="O29" s="145"/>
      <c r="P29" s="72"/>
      <c r="Q29" s="20"/>
    </row>
    <row r="30" spans="1:17" s="21" customFormat="1" ht="18" x14ac:dyDescent="0.35">
      <c r="A30" s="49"/>
      <c r="B30" s="153"/>
      <c r="C30" s="146"/>
      <c r="D30" s="51"/>
      <c r="E30" s="48"/>
      <c r="F30" s="203"/>
      <c r="G30" s="59"/>
      <c r="H30" s="48"/>
      <c r="I30" s="48"/>
      <c r="J30" s="203"/>
      <c r="K30" s="59"/>
      <c r="L30" s="48"/>
      <c r="M30" s="48"/>
      <c r="N30" s="203"/>
      <c r="O30" s="145"/>
      <c r="P30" s="72"/>
      <c r="Q30" s="20"/>
    </row>
    <row r="31" spans="1:17" s="21" customFormat="1" ht="18" x14ac:dyDescent="0.35">
      <c r="A31" s="49">
        <v>12</v>
      </c>
      <c r="B31" s="153" t="s">
        <v>253</v>
      </c>
      <c r="C31" s="146">
        <v>4.0179999999999998</v>
      </c>
      <c r="D31" s="51" t="s">
        <v>10</v>
      </c>
      <c r="E31" s="48">
        <f t="shared" si="1"/>
        <v>32.4</v>
      </c>
      <c r="F31" s="203">
        <f t="shared" si="2"/>
        <v>130.1832</v>
      </c>
      <c r="G31" s="59">
        <v>32.4</v>
      </c>
      <c r="H31" s="48"/>
      <c r="I31" s="48">
        <f>IF(D31=0," ",(G31)*(Details!$C$4+Details!$C$8))</f>
        <v>4.8600000000000003</v>
      </c>
      <c r="J31" s="203">
        <f>IF(D31=0," ",(H31)*(Details!$C$6+Details!$C$8))</f>
        <v>0</v>
      </c>
      <c r="K31" s="59">
        <f t="shared" si="3"/>
        <v>130.1832</v>
      </c>
      <c r="L31" s="48">
        <f t="shared" si="4"/>
        <v>0</v>
      </c>
      <c r="M31" s="48">
        <f t="shared" si="5"/>
        <v>19.527480000000001</v>
      </c>
      <c r="N31" s="203">
        <f t="shared" si="6"/>
        <v>0</v>
      </c>
      <c r="O31" s="145"/>
      <c r="P31" s="72"/>
      <c r="Q31" s="20"/>
    </row>
    <row r="32" spans="1:17" s="21" customFormat="1" ht="18" x14ac:dyDescent="0.35">
      <c r="A32" s="49"/>
      <c r="B32" s="153"/>
      <c r="C32" s="146"/>
      <c r="D32" s="51"/>
      <c r="E32" s="48"/>
      <c r="F32" s="203"/>
      <c r="G32" s="59"/>
      <c r="H32" s="48"/>
      <c r="I32" s="48"/>
      <c r="J32" s="203"/>
      <c r="K32" s="59"/>
      <c r="L32" s="48"/>
      <c r="M32" s="48"/>
      <c r="N32" s="203"/>
      <c r="O32" s="145"/>
      <c r="P32" s="72"/>
      <c r="Q32" s="20"/>
    </row>
    <row r="33" spans="1:17" s="21" customFormat="1" ht="18" x14ac:dyDescent="0.35">
      <c r="A33" s="49">
        <v>13</v>
      </c>
      <c r="B33" s="153" t="s">
        <v>254</v>
      </c>
      <c r="C33" s="146">
        <v>3.39</v>
      </c>
      <c r="D33" s="51" t="s">
        <v>10</v>
      </c>
      <c r="E33" s="48">
        <f t="shared" si="1"/>
        <v>46.5</v>
      </c>
      <c r="F33" s="203">
        <f t="shared" si="2"/>
        <v>157.63500000000002</v>
      </c>
      <c r="G33" s="59">
        <v>46.5</v>
      </c>
      <c r="H33" s="48"/>
      <c r="I33" s="48">
        <f>IF(D33=0," ",(G33)*(Details!$C$4+Details!$C$8))</f>
        <v>6.9750000000000014</v>
      </c>
      <c r="J33" s="203">
        <f>IF(D33=0," ",(H33)*(Details!$C$6+Details!$C$8))</f>
        <v>0</v>
      </c>
      <c r="K33" s="59">
        <f t="shared" si="3"/>
        <v>157.63500000000002</v>
      </c>
      <c r="L33" s="48">
        <f t="shared" si="4"/>
        <v>0</v>
      </c>
      <c r="M33" s="48">
        <f t="shared" si="5"/>
        <v>23.645250000000004</v>
      </c>
      <c r="N33" s="203">
        <f t="shared" si="6"/>
        <v>0</v>
      </c>
      <c r="O33" s="145"/>
      <c r="P33" s="72"/>
      <c r="Q33" s="20"/>
    </row>
    <row r="34" spans="1:17" s="21" customFormat="1" ht="18" x14ac:dyDescent="0.35">
      <c r="A34" s="49"/>
      <c r="B34" s="153"/>
      <c r="C34" s="146"/>
      <c r="D34" s="51"/>
      <c r="E34" s="48"/>
      <c r="F34" s="203"/>
      <c r="G34" s="59"/>
      <c r="H34" s="48"/>
      <c r="I34" s="48"/>
      <c r="J34" s="203"/>
      <c r="K34" s="59"/>
      <c r="L34" s="48"/>
      <c r="M34" s="48"/>
      <c r="N34" s="203"/>
      <c r="O34" s="145"/>
      <c r="P34" s="72"/>
      <c r="Q34" s="20"/>
    </row>
    <row r="35" spans="1:17" s="21" customFormat="1" ht="18" x14ac:dyDescent="0.35">
      <c r="A35" s="49">
        <v>14</v>
      </c>
      <c r="B35" s="153" t="s">
        <v>255</v>
      </c>
      <c r="C35" s="146">
        <v>0.89</v>
      </c>
      <c r="D35" s="51" t="s">
        <v>10</v>
      </c>
      <c r="E35" s="48">
        <f t="shared" si="1"/>
        <v>34.5</v>
      </c>
      <c r="F35" s="203">
        <f t="shared" si="2"/>
        <v>30.705000000000002</v>
      </c>
      <c r="G35" s="59">
        <v>34.5</v>
      </c>
      <c r="H35" s="48"/>
      <c r="I35" s="48">
        <f>IF(D35=0," ",(G35)*(Details!$C$4+Details!$C$8))</f>
        <v>5.1750000000000007</v>
      </c>
      <c r="J35" s="203">
        <f>IF(D35=0," ",(H35)*(Details!$C$6+Details!$C$8))</f>
        <v>0</v>
      </c>
      <c r="K35" s="59">
        <f t="shared" si="3"/>
        <v>30.705000000000002</v>
      </c>
      <c r="L35" s="48">
        <f t="shared" si="4"/>
        <v>0</v>
      </c>
      <c r="M35" s="48">
        <f t="shared" si="5"/>
        <v>4.6057500000000005</v>
      </c>
      <c r="N35" s="203">
        <f t="shared" si="6"/>
        <v>0</v>
      </c>
      <c r="O35" s="145"/>
      <c r="P35" s="72"/>
      <c r="Q35" s="20"/>
    </row>
    <row r="36" spans="1:17" s="21" customFormat="1" ht="18" x14ac:dyDescent="0.35">
      <c r="A36" s="49"/>
      <c r="B36" s="153"/>
      <c r="C36" s="146"/>
      <c r="D36" s="51"/>
      <c r="E36" s="48"/>
      <c r="F36" s="203"/>
      <c r="G36" s="59"/>
      <c r="H36" s="48"/>
      <c r="I36" s="48"/>
      <c r="J36" s="203"/>
      <c r="K36" s="59"/>
      <c r="L36" s="48"/>
      <c r="M36" s="48"/>
      <c r="N36" s="203"/>
      <c r="O36" s="145"/>
      <c r="P36" s="72"/>
      <c r="Q36" s="20"/>
    </row>
    <row r="37" spans="1:17" s="21" customFormat="1" ht="18" x14ac:dyDescent="0.35">
      <c r="A37" s="49">
        <v>15</v>
      </c>
      <c r="B37" s="153" t="s">
        <v>256</v>
      </c>
      <c r="C37" s="146">
        <v>41.2</v>
      </c>
      <c r="D37" s="51" t="s">
        <v>10</v>
      </c>
      <c r="E37" s="48">
        <f t="shared" si="1"/>
        <v>26.5</v>
      </c>
      <c r="F37" s="203">
        <f t="shared" si="2"/>
        <v>1091.8000000000002</v>
      </c>
      <c r="G37" s="59">
        <v>26.5</v>
      </c>
      <c r="H37" s="48"/>
      <c r="I37" s="48">
        <f>IF(D37=0," ",(G37)*(Details!$C$4+Details!$C$8))</f>
        <v>3.9750000000000005</v>
      </c>
      <c r="J37" s="203">
        <f>IF(D37=0," ",(H37)*(Details!$C$6+Details!$C$8))</f>
        <v>0</v>
      </c>
      <c r="K37" s="59">
        <f t="shared" si="3"/>
        <v>1091.8000000000002</v>
      </c>
      <c r="L37" s="48">
        <f t="shared" si="4"/>
        <v>0</v>
      </c>
      <c r="M37" s="48">
        <f t="shared" si="5"/>
        <v>163.77000000000004</v>
      </c>
      <c r="N37" s="203">
        <f t="shared" si="6"/>
        <v>0</v>
      </c>
      <c r="O37" s="145"/>
      <c r="P37" s="72"/>
      <c r="Q37" s="20"/>
    </row>
    <row r="38" spans="1:17" s="21" customFormat="1" ht="18" x14ac:dyDescent="0.35">
      <c r="A38" s="49"/>
      <c r="B38" s="153"/>
      <c r="C38" s="146"/>
      <c r="D38" s="51"/>
      <c r="E38" s="48"/>
      <c r="F38" s="203"/>
      <c r="G38" s="59"/>
      <c r="H38" s="48"/>
      <c r="I38" s="48"/>
      <c r="J38" s="203"/>
      <c r="K38" s="59"/>
      <c r="L38" s="48"/>
      <c r="M38" s="48"/>
      <c r="N38" s="203"/>
      <c r="O38" s="145"/>
      <c r="P38" s="72"/>
      <c r="Q38" s="20"/>
    </row>
    <row r="39" spans="1:17" s="21" customFormat="1" ht="18" x14ac:dyDescent="0.35">
      <c r="A39" s="49">
        <v>16</v>
      </c>
      <c r="B39" s="153" t="s">
        <v>257</v>
      </c>
      <c r="C39" s="146">
        <v>13.65</v>
      </c>
      <c r="D39" s="51" t="s">
        <v>10</v>
      </c>
      <c r="E39" s="48">
        <f t="shared" si="1"/>
        <v>34.799999999999997</v>
      </c>
      <c r="F39" s="203">
        <f t="shared" si="2"/>
        <v>475.02</v>
      </c>
      <c r="G39" s="59">
        <v>34.799999999999997</v>
      </c>
      <c r="H39" s="48"/>
      <c r="I39" s="48">
        <f>IF(D39=0," ",(G39)*(Details!$C$4+Details!$C$8))</f>
        <v>5.2200000000000006</v>
      </c>
      <c r="J39" s="203">
        <f>IF(D39=0," ",(H39)*(Details!$C$6+Details!$C$8))</f>
        <v>0</v>
      </c>
      <c r="K39" s="59">
        <f t="shared" si="3"/>
        <v>475.02</v>
      </c>
      <c r="L39" s="48">
        <f t="shared" si="4"/>
        <v>0</v>
      </c>
      <c r="M39" s="48">
        <f t="shared" si="5"/>
        <v>71.253000000000014</v>
      </c>
      <c r="N39" s="203">
        <f t="shared" si="6"/>
        <v>0</v>
      </c>
      <c r="O39" s="145"/>
      <c r="P39" s="72"/>
      <c r="Q39" s="20"/>
    </row>
    <row r="40" spans="1:17" s="21" customFormat="1" ht="18" x14ac:dyDescent="0.35">
      <c r="A40" s="49"/>
      <c r="B40" s="153"/>
      <c r="C40" s="146"/>
      <c r="D40" s="51"/>
      <c r="E40" s="48"/>
      <c r="F40" s="203"/>
      <c r="G40" s="59"/>
      <c r="H40" s="48"/>
      <c r="I40" s="48"/>
      <c r="J40" s="203"/>
      <c r="K40" s="59"/>
      <c r="L40" s="48"/>
      <c r="M40" s="48"/>
      <c r="N40" s="203"/>
      <c r="O40" s="145"/>
      <c r="P40" s="72"/>
      <c r="Q40" s="20"/>
    </row>
    <row r="41" spans="1:17" s="21" customFormat="1" ht="18" x14ac:dyDescent="0.35">
      <c r="A41" s="49">
        <v>17</v>
      </c>
      <c r="B41" s="153" t="s">
        <v>258</v>
      </c>
      <c r="C41" s="146">
        <v>15</v>
      </c>
      <c r="D41" s="51" t="s">
        <v>10</v>
      </c>
      <c r="E41" s="48">
        <f t="shared" si="1"/>
        <v>32.4</v>
      </c>
      <c r="F41" s="203">
        <f t="shared" ref="F41:F47" si="7">E41*C41</f>
        <v>486</v>
      </c>
      <c r="G41" s="59">
        <v>32.4</v>
      </c>
      <c r="H41" s="48"/>
      <c r="I41" s="48">
        <f>IF(D41=0," ",(G41)*(Details!$C$4+Details!$C$8))</f>
        <v>4.8600000000000003</v>
      </c>
      <c r="J41" s="203">
        <f>IF(D41=0," ",(H41)*(Details!$C$6+Details!$C$8))</f>
        <v>0</v>
      </c>
      <c r="K41" s="59">
        <f t="shared" ref="K41:K47" si="8">+G41*C41</f>
        <v>486</v>
      </c>
      <c r="L41" s="48">
        <f t="shared" ref="L41:L47" si="9">+H41*C41</f>
        <v>0</v>
      </c>
      <c r="M41" s="48">
        <f t="shared" ref="M41:M47" si="10">IF(D41=0," ",(I41*C41))</f>
        <v>72.900000000000006</v>
      </c>
      <c r="N41" s="203">
        <f t="shared" ref="N41:N47" si="11">IF(D41=0," ",(J41*C41))</f>
        <v>0</v>
      </c>
      <c r="O41" s="145"/>
      <c r="P41" s="72"/>
      <c r="Q41" s="20"/>
    </row>
    <row r="42" spans="1:17" s="21" customFormat="1" ht="18" x14ac:dyDescent="0.35">
      <c r="A42" s="49"/>
      <c r="B42" s="153"/>
      <c r="C42" s="146"/>
      <c r="D42" s="51"/>
      <c r="E42" s="48"/>
      <c r="F42" s="203"/>
      <c r="G42" s="59"/>
      <c r="H42" s="48"/>
      <c r="I42" s="48"/>
      <c r="J42" s="203"/>
      <c r="K42" s="59"/>
      <c r="L42" s="48"/>
      <c r="M42" s="48"/>
      <c r="N42" s="203"/>
      <c r="O42" s="145"/>
      <c r="P42" s="72"/>
      <c r="Q42" s="20"/>
    </row>
    <row r="43" spans="1:17" s="21" customFormat="1" ht="18" x14ac:dyDescent="0.35">
      <c r="A43" s="49">
        <v>18</v>
      </c>
      <c r="B43" s="153" t="s">
        <v>259</v>
      </c>
      <c r="C43" s="146">
        <v>5.69</v>
      </c>
      <c r="D43" s="51" t="s">
        <v>13</v>
      </c>
      <c r="E43" s="48">
        <f t="shared" si="1"/>
        <v>55</v>
      </c>
      <c r="F43" s="203">
        <f t="shared" si="7"/>
        <v>312.95000000000005</v>
      </c>
      <c r="G43" s="59">
        <v>55</v>
      </c>
      <c r="H43" s="48"/>
      <c r="I43" s="48">
        <f>IF(D43=0," ",(G43)*(Details!$C$4+Details!$C$8))</f>
        <v>8.2500000000000018</v>
      </c>
      <c r="J43" s="203">
        <f>IF(D43=0," ",(H43)*(Details!$C$6+Details!$C$8))</f>
        <v>0</v>
      </c>
      <c r="K43" s="59">
        <f t="shared" si="8"/>
        <v>312.95000000000005</v>
      </c>
      <c r="L43" s="48">
        <f t="shared" si="9"/>
        <v>0</v>
      </c>
      <c r="M43" s="48">
        <f t="shared" si="10"/>
        <v>46.942500000000017</v>
      </c>
      <c r="N43" s="203">
        <f t="shared" si="11"/>
        <v>0</v>
      </c>
      <c r="O43" s="145"/>
      <c r="P43" s="72"/>
      <c r="Q43" s="20"/>
    </row>
    <row r="44" spans="1:17" s="21" customFormat="1" ht="18" x14ac:dyDescent="0.35">
      <c r="A44" s="49"/>
      <c r="B44" s="153"/>
      <c r="C44" s="146"/>
      <c r="D44" s="51"/>
      <c r="E44" s="48"/>
      <c r="F44" s="203"/>
      <c r="G44" s="59"/>
      <c r="H44" s="48"/>
      <c r="I44" s="48"/>
      <c r="J44" s="203"/>
      <c r="K44" s="59"/>
      <c r="L44" s="48"/>
      <c r="M44" s="48"/>
      <c r="N44" s="203"/>
      <c r="O44" s="145"/>
      <c r="P44" s="72"/>
      <c r="Q44" s="20"/>
    </row>
    <row r="45" spans="1:17" s="21" customFormat="1" ht="17.55" customHeight="1" x14ac:dyDescent="0.35">
      <c r="A45" s="49">
        <v>19</v>
      </c>
      <c r="B45" s="153" t="s">
        <v>261</v>
      </c>
      <c r="C45" s="146">
        <v>1.96</v>
      </c>
      <c r="D45" s="51" t="s">
        <v>13</v>
      </c>
      <c r="E45" s="48">
        <f t="shared" si="1"/>
        <v>48</v>
      </c>
      <c r="F45" s="203">
        <f t="shared" si="7"/>
        <v>94.08</v>
      </c>
      <c r="G45" s="59">
        <v>48</v>
      </c>
      <c r="H45" s="48"/>
      <c r="I45" s="48">
        <f>IF(D45=0," ",(G45)*(Details!$C$4+Details!$C$8))</f>
        <v>7.2000000000000011</v>
      </c>
      <c r="J45" s="203">
        <f>IF(D45=0," ",(H45)*(Details!$C$6+Details!$C$8))</f>
        <v>0</v>
      </c>
      <c r="K45" s="59">
        <f t="shared" si="8"/>
        <v>94.08</v>
      </c>
      <c r="L45" s="48">
        <f t="shared" si="9"/>
        <v>0</v>
      </c>
      <c r="M45" s="48">
        <f t="shared" si="10"/>
        <v>14.112000000000002</v>
      </c>
      <c r="N45" s="203">
        <f t="shared" si="11"/>
        <v>0</v>
      </c>
      <c r="O45" s="145"/>
      <c r="P45" s="72"/>
      <c r="Q45" s="20"/>
    </row>
    <row r="46" spans="1:17" s="21" customFormat="1" ht="18" x14ac:dyDescent="0.35">
      <c r="A46" s="49"/>
      <c r="B46" s="153"/>
      <c r="C46" s="146"/>
      <c r="D46" s="51"/>
      <c r="E46" s="48"/>
      <c r="F46" s="203"/>
      <c r="G46" s="59"/>
      <c r="H46" s="48"/>
      <c r="I46" s="48"/>
      <c r="J46" s="203"/>
      <c r="K46" s="59"/>
      <c r="L46" s="48"/>
      <c r="M46" s="48"/>
      <c r="N46" s="203"/>
      <c r="O46" s="145"/>
      <c r="P46" s="72"/>
      <c r="Q46" s="20"/>
    </row>
    <row r="47" spans="1:17" s="21" customFormat="1" ht="18" x14ac:dyDescent="0.35">
      <c r="A47" s="49">
        <v>20</v>
      </c>
      <c r="B47" s="153" t="s">
        <v>262</v>
      </c>
      <c r="C47" s="146">
        <v>0.46</v>
      </c>
      <c r="D47" s="51" t="s">
        <v>13</v>
      </c>
      <c r="E47" s="48">
        <f t="shared" si="1"/>
        <v>68</v>
      </c>
      <c r="F47" s="203">
        <f t="shared" si="7"/>
        <v>31.28</v>
      </c>
      <c r="G47" s="59">
        <v>68</v>
      </c>
      <c r="H47" s="48"/>
      <c r="I47" s="48">
        <f>IF(D47=0," ",(G47)*(Details!$C$4+Details!$C$8))</f>
        <v>10.200000000000001</v>
      </c>
      <c r="J47" s="203">
        <f>IF(D47=0," ",(H47)*(Details!$C$6+Details!$C$8))</f>
        <v>0</v>
      </c>
      <c r="K47" s="59">
        <f t="shared" si="8"/>
        <v>31.28</v>
      </c>
      <c r="L47" s="48">
        <f t="shared" si="9"/>
        <v>0</v>
      </c>
      <c r="M47" s="48">
        <f t="shared" si="10"/>
        <v>4.6920000000000011</v>
      </c>
      <c r="N47" s="203">
        <f t="shared" si="11"/>
        <v>0</v>
      </c>
      <c r="O47" s="145"/>
      <c r="P47" s="72"/>
      <c r="Q47" s="20"/>
    </row>
    <row r="48" spans="1:17" s="21" customFormat="1" ht="18" x14ac:dyDescent="0.35">
      <c r="A48" s="49"/>
      <c r="B48" s="153"/>
      <c r="C48" s="146"/>
      <c r="D48" s="51"/>
      <c r="E48" s="48"/>
      <c r="F48" s="203"/>
      <c r="G48" s="59"/>
      <c r="H48" s="48"/>
      <c r="I48" s="48"/>
      <c r="J48" s="203"/>
      <c r="K48" s="59"/>
      <c r="L48" s="48"/>
      <c r="M48" s="48"/>
      <c r="N48" s="203"/>
      <c r="O48" s="145"/>
      <c r="P48" s="72"/>
      <c r="Q48" s="20"/>
    </row>
    <row r="49" spans="1:19" s="21" customFormat="1" ht="18.45" customHeight="1" x14ac:dyDescent="0.35">
      <c r="A49" s="49">
        <v>21</v>
      </c>
      <c r="B49" s="153" t="s">
        <v>264</v>
      </c>
      <c r="C49" s="146">
        <v>1</v>
      </c>
      <c r="D49" s="51" t="s">
        <v>11</v>
      </c>
      <c r="E49" s="48">
        <f t="shared" si="1"/>
        <v>90</v>
      </c>
      <c r="F49" s="203">
        <f t="shared" ref="F49" si="12">E49*C49</f>
        <v>90</v>
      </c>
      <c r="G49" s="59">
        <v>90</v>
      </c>
      <c r="H49" s="48"/>
      <c r="I49" s="48">
        <f>IF(D49=0," ",(G49)*(Details!$C$4+Details!$C$8))</f>
        <v>13.500000000000002</v>
      </c>
      <c r="J49" s="203">
        <f>IF(D49=0," ",(H49)*(Details!$C$6+Details!$C$8))</f>
        <v>0</v>
      </c>
      <c r="K49" s="59">
        <f t="shared" ref="K49" si="13">+G49*C49</f>
        <v>90</v>
      </c>
      <c r="L49" s="48">
        <f t="shared" ref="L49" si="14">+H49*C49</f>
        <v>0</v>
      </c>
      <c r="M49" s="48">
        <f t="shared" ref="M49" si="15">IF(D49=0," ",(I49*C49))</f>
        <v>13.500000000000002</v>
      </c>
      <c r="N49" s="203">
        <f t="shared" ref="N49" si="16">IF(D49=0," ",(J49*C49))</f>
        <v>0</v>
      </c>
      <c r="O49" s="145"/>
      <c r="P49" s="72"/>
      <c r="Q49" s="20"/>
    </row>
    <row r="50" spans="1:19" s="21" customFormat="1" ht="18" x14ac:dyDescent="0.35">
      <c r="A50" s="49"/>
      <c r="B50" s="153"/>
      <c r="C50" s="146"/>
      <c r="D50" s="51"/>
      <c r="E50" s="48"/>
      <c r="F50" s="203"/>
      <c r="G50" s="59"/>
      <c r="H50" s="48"/>
      <c r="I50" s="48"/>
      <c r="J50" s="203"/>
      <c r="K50" s="59"/>
      <c r="L50" s="48"/>
      <c r="M50" s="48"/>
      <c r="N50" s="203"/>
      <c r="O50" s="145"/>
      <c r="P50" s="72"/>
      <c r="Q50" s="20"/>
    </row>
    <row r="51" spans="1:19" s="21" customFormat="1" ht="18" x14ac:dyDescent="0.35">
      <c r="A51" s="75" t="str">
        <f>IF(F51&lt;&gt;"",(LARGE(A$7:A9,1)+1),"")</f>
        <v/>
      </c>
      <c r="B51" s="153"/>
      <c r="C51" s="146"/>
      <c r="D51" s="51"/>
      <c r="E51" s="48"/>
      <c r="F51" s="203"/>
      <c r="G51" s="59"/>
      <c r="H51" s="48"/>
      <c r="I51" s="48"/>
      <c r="J51" s="203" t="str">
        <f>IF(D51=0," ",(G51+H51)*(Details!$C$4+Details!$C$6))</f>
        <v xml:space="preserve"> </v>
      </c>
      <c r="K51" s="59"/>
      <c r="L51" s="48"/>
      <c r="M51" s="48"/>
      <c r="N51" s="203"/>
      <c r="O51" s="145"/>
      <c r="P51" s="72"/>
      <c r="Q51" s="20"/>
    </row>
    <row r="52" spans="1:19" s="21" customFormat="1" ht="18.600000000000001" thickBot="1" x14ac:dyDescent="0.4">
      <c r="A52" s="49"/>
      <c r="B52" s="156"/>
      <c r="C52" s="146"/>
      <c r="D52" s="60"/>
      <c r="E52" s="62" t="s">
        <v>115</v>
      </c>
      <c r="F52" s="204">
        <f>SUM(F1:F51)</f>
        <v>9774.8486000000012</v>
      </c>
      <c r="G52" s="59"/>
      <c r="H52" s="48"/>
      <c r="I52" s="48"/>
      <c r="J52" s="203"/>
      <c r="K52" s="252">
        <f>SUM(K8:K51)</f>
        <v>9774.8486000000012</v>
      </c>
      <c r="L52" s="253">
        <f>SUM(L8:L51)</f>
        <v>0</v>
      </c>
      <c r="M52" s="253">
        <f>SUM(M8:M51)</f>
        <v>1466.2272900000003</v>
      </c>
      <c r="N52" s="204">
        <f>SUM(N8:N51)</f>
        <v>0</v>
      </c>
      <c r="O52" s="145"/>
      <c r="P52" s="72"/>
      <c r="Q52" s="20"/>
      <c r="S52" s="55"/>
    </row>
    <row r="53" spans="1:19" s="21" customFormat="1" ht="19.2" thickTop="1" thickBot="1" x14ac:dyDescent="0.4">
      <c r="A53" s="157"/>
      <c r="B53" s="158"/>
      <c r="C53" s="159"/>
      <c r="D53" s="63"/>
      <c r="E53" s="65"/>
      <c r="F53" s="205"/>
      <c r="G53" s="66"/>
      <c r="H53" s="65"/>
      <c r="I53" s="65"/>
      <c r="J53" s="67"/>
      <c r="K53" s="66"/>
      <c r="L53" s="65"/>
      <c r="M53" s="65"/>
      <c r="N53" s="67"/>
      <c r="O53" s="145"/>
      <c r="P53" s="72"/>
      <c r="Q53" s="20"/>
      <c r="S53" s="55"/>
    </row>
  </sheetData>
  <mergeCells count="2">
    <mergeCell ref="G5:J5"/>
    <mergeCell ref="K5:N5"/>
  </mergeCells>
  <conditionalFormatting sqref="G1:G4 G6 G8:G9972">
    <cfRule type="notContainsBlanks" dxfId="115" priority="22">
      <formula>LEN(TRIM(G1))&gt;0</formula>
    </cfRule>
  </conditionalFormatting>
  <conditionalFormatting sqref="H9:H50">
    <cfRule type="notContainsBlanks" dxfId="114" priority="5">
      <formula>LEN(TRIM(H9))&gt;0</formula>
    </cfRule>
  </conditionalFormatting>
  <conditionalFormatting sqref="H1:I4 H8:I8 H51:I10548">
    <cfRule type="notContainsBlanks" dxfId="113" priority="21">
      <formula>LEN(TRIM(H1))&gt;0</formula>
    </cfRule>
  </conditionalFormatting>
  <conditionalFormatting sqref="P52">
    <cfRule type="cellIs" dxfId="112" priority="19" operator="equal">
      <formula>0</formula>
    </cfRule>
    <cfRule type="cellIs" dxfId="111" priority="20" operator="notBetween">
      <formula>-0.01</formula>
      <formula>0.01</formula>
    </cfRule>
  </conditionalFormatting>
  <printOptions horizontalCentered="1"/>
  <pageMargins left="0.70866141732283461" right="0.70866141732283461" top="0.31496062992125984" bottom="0.55118110236220474" header="0.31496062992125984" footer="0.31496062992125984"/>
  <pageSetup paperSize="9" scale="62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>
    <pageSetUpPr fitToPage="1"/>
  </sheetPr>
  <dimension ref="A1:Q131"/>
  <sheetViews>
    <sheetView zoomScale="75" zoomScaleNormal="55" workbookViewId="0">
      <selection activeCell="E10" sqref="E10"/>
    </sheetView>
  </sheetViews>
  <sheetFormatPr defaultColWidth="9.109375" defaultRowHeight="15.6" x14ac:dyDescent="0.3"/>
  <cols>
    <col min="1" max="1" width="5.44140625" style="16" customWidth="1"/>
    <col min="2" max="2" width="80.77734375" style="21" customWidth="1"/>
    <col min="3" max="3" width="12.44140625" style="32" customWidth="1"/>
    <col min="4" max="4" width="8.6640625" style="16" customWidth="1"/>
    <col min="5" max="6" width="15.6640625" style="20" customWidth="1"/>
    <col min="7" max="9" width="14.33203125" style="20" customWidth="1"/>
    <col min="10" max="10" width="14.33203125" style="16" customWidth="1"/>
    <col min="11" max="14" width="15.6640625" style="20" customWidth="1"/>
    <col min="15" max="15" width="10.44140625" style="16" bestFit="1" customWidth="1"/>
    <col min="16" max="16" width="14.33203125" style="16" customWidth="1"/>
    <col min="17" max="16384" width="9.109375" style="16"/>
  </cols>
  <sheetData>
    <row r="1" spans="1:14" x14ac:dyDescent="0.3">
      <c r="A1" s="29"/>
      <c r="B1" s="23"/>
      <c r="C1" s="31"/>
      <c r="D1" s="24"/>
      <c r="E1" s="33"/>
      <c r="F1" s="34"/>
      <c r="G1" s="33"/>
      <c r="H1" s="33"/>
      <c r="I1" s="33"/>
      <c r="J1" s="24"/>
    </row>
    <row r="2" spans="1:14" x14ac:dyDescent="0.3">
      <c r="A2" s="15"/>
      <c r="B2" s="3" t="str">
        <f>+'Qual, Excl &amp; Assum'!B2</f>
        <v>PROJECT: Mr &amp; Mrs Hawkes-Cowands House</v>
      </c>
      <c r="F2" s="35"/>
    </row>
    <row r="3" spans="1:14" x14ac:dyDescent="0.3">
      <c r="A3" s="15"/>
      <c r="B3" s="53" t="str">
        <f>+'Qual, Excl &amp; Assum'!B3</f>
        <v>DATE: 25TH SEPTEMBER 2025</v>
      </c>
      <c r="F3" s="35"/>
    </row>
    <row r="4" spans="1:14" s="21" customFormat="1" ht="16.2" thickBot="1" x14ac:dyDescent="0.35">
      <c r="A4" s="15"/>
      <c r="B4" s="22"/>
      <c r="C4" s="32"/>
      <c r="E4" s="36"/>
      <c r="F4" s="37"/>
      <c r="G4" s="36"/>
      <c r="H4" s="36"/>
      <c r="I4" s="36"/>
      <c r="K4" s="20"/>
      <c r="L4" s="20"/>
      <c r="M4" s="20"/>
      <c r="N4" s="20"/>
    </row>
    <row r="5" spans="1:14" s="21" customFormat="1" ht="37.5" customHeight="1" thickBot="1" x14ac:dyDescent="0.45">
      <c r="A5" s="192"/>
      <c r="B5" s="196" t="s">
        <v>19</v>
      </c>
      <c r="C5" s="193"/>
      <c r="D5" s="194"/>
      <c r="E5" s="195"/>
      <c r="F5" s="200"/>
      <c r="G5" s="370" t="s">
        <v>138</v>
      </c>
      <c r="H5" s="371"/>
      <c r="I5" s="371"/>
      <c r="J5" s="372"/>
      <c r="K5" s="371" t="s">
        <v>139</v>
      </c>
      <c r="L5" s="371"/>
      <c r="M5" s="371"/>
      <c r="N5" s="372"/>
    </row>
    <row r="6" spans="1:14" s="21" customFormat="1" ht="18" x14ac:dyDescent="0.35">
      <c r="A6" s="49"/>
      <c r="B6" s="38"/>
      <c r="C6" s="146"/>
      <c r="D6" s="38"/>
      <c r="E6" s="64"/>
      <c r="F6" s="201"/>
      <c r="G6" s="255"/>
      <c r="H6" s="64"/>
      <c r="I6" s="64"/>
      <c r="J6" s="206"/>
      <c r="K6" s="20"/>
      <c r="L6" s="20"/>
      <c r="M6" s="20"/>
      <c r="N6" s="35"/>
    </row>
    <row r="7" spans="1:14" s="21" customFormat="1" ht="18" x14ac:dyDescent="0.35">
      <c r="A7" s="49"/>
      <c r="B7" s="3" t="s">
        <v>3</v>
      </c>
      <c r="C7" s="263" t="s">
        <v>8</v>
      </c>
      <c r="D7" s="264" t="s">
        <v>2</v>
      </c>
      <c r="E7" s="54" t="s">
        <v>1</v>
      </c>
      <c r="F7" s="265" t="s">
        <v>0</v>
      </c>
      <c r="G7" s="266" t="s">
        <v>34</v>
      </c>
      <c r="H7" s="266" t="s">
        <v>35</v>
      </c>
      <c r="I7" s="266" t="s">
        <v>177</v>
      </c>
      <c r="J7" s="267" t="s">
        <v>178</v>
      </c>
      <c r="K7" s="266" t="s">
        <v>34</v>
      </c>
      <c r="L7" s="266" t="s">
        <v>35</v>
      </c>
      <c r="M7" s="266" t="s">
        <v>177</v>
      </c>
      <c r="N7" s="267" t="s">
        <v>178</v>
      </c>
    </row>
    <row r="8" spans="1:14" s="21" customFormat="1" ht="18" x14ac:dyDescent="0.35">
      <c r="A8" s="49"/>
      <c r="B8" s="160"/>
      <c r="C8" s="149"/>
      <c r="D8" s="61"/>
      <c r="E8" s="62"/>
      <c r="F8" s="202"/>
      <c r="G8" s="59"/>
      <c r="H8" s="48"/>
      <c r="I8" s="48"/>
      <c r="J8" s="207"/>
      <c r="K8" s="20"/>
      <c r="L8" s="20"/>
      <c r="M8" s="20"/>
      <c r="N8" s="203" t="str">
        <f t="shared" ref="N8:N120" si="0">IF(D8=0," ",(J8*C8))</f>
        <v xml:space="preserve"> </v>
      </c>
    </row>
    <row r="9" spans="1:14" s="21" customFormat="1" ht="18" x14ac:dyDescent="0.35">
      <c r="A9" s="49"/>
      <c r="B9" s="161" t="s">
        <v>54</v>
      </c>
      <c r="C9" s="149"/>
      <c r="D9" s="61"/>
      <c r="E9" s="62"/>
      <c r="F9" s="202"/>
      <c r="G9" s="59"/>
      <c r="H9" s="48"/>
      <c r="I9" s="48"/>
      <c r="J9" s="207"/>
      <c r="K9" s="20"/>
      <c r="L9" s="20"/>
      <c r="M9" s="20"/>
      <c r="N9" s="203" t="str">
        <f t="shared" si="0"/>
        <v xml:space="preserve"> </v>
      </c>
    </row>
    <row r="10" spans="1:14" s="21" customFormat="1" ht="18" x14ac:dyDescent="0.35">
      <c r="A10" s="49">
        <v>1</v>
      </c>
      <c r="B10" s="152" t="s">
        <v>45</v>
      </c>
      <c r="C10" s="146">
        <f>(C83+C95)*0.45</f>
        <v>27.45</v>
      </c>
      <c r="D10" s="51" t="s">
        <v>10</v>
      </c>
      <c r="E10" s="48">
        <f>G10+H10</f>
        <v>19.399999999999999</v>
      </c>
      <c r="F10" s="203">
        <f>E10*C10</f>
        <v>532.53</v>
      </c>
      <c r="G10" s="59">
        <v>19.399999999999999</v>
      </c>
      <c r="H10" s="48"/>
      <c r="I10" s="48">
        <f>IF(D10=0," ",(G10)*(Details!$C$4+Details!$C$8))</f>
        <v>2.91</v>
      </c>
      <c r="J10" s="203">
        <f>IF(D10=0," ",(H10)*(Details!$C$6+Details!$C$8))</f>
        <v>0</v>
      </c>
      <c r="K10" s="59">
        <f>+G10*C10</f>
        <v>532.53</v>
      </c>
      <c r="L10" s="48">
        <f>+H10*C10</f>
        <v>0</v>
      </c>
      <c r="M10" s="48">
        <f>IF(D10=0," ",(I10*C10))</f>
        <v>79.879500000000007</v>
      </c>
      <c r="N10" s="203">
        <f>IF(D10=0," ",(J10*C10))</f>
        <v>0</v>
      </c>
    </row>
    <row r="11" spans="1:14" s="21" customFormat="1" ht="18" x14ac:dyDescent="0.35">
      <c r="A11" s="49"/>
      <c r="B11" s="38"/>
      <c r="C11" s="146"/>
      <c r="D11" s="51"/>
      <c r="E11" s="48"/>
      <c r="F11" s="203"/>
      <c r="G11" s="59"/>
      <c r="H11" s="48"/>
      <c r="I11" s="48"/>
      <c r="J11" s="203"/>
      <c r="K11" s="99"/>
      <c r="L11" s="99"/>
      <c r="M11" s="99"/>
      <c r="N11" s="203" t="str">
        <f t="shared" si="0"/>
        <v xml:space="preserve"> </v>
      </c>
    </row>
    <row r="12" spans="1:14" s="21" customFormat="1" ht="18" x14ac:dyDescent="0.35">
      <c r="A12" s="49">
        <v>2</v>
      </c>
      <c r="B12" s="152" t="s">
        <v>47</v>
      </c>
      <c r="C12" s="146">
        <f>C10</f>
        <v>27.45</v>
      </c>
      <c r="D12" s="51" t="s">
        <v>10</v>
      </c>
      <c r="E12" s="48">
        <f t="shared" ref="E12:E42" si="1">G12+H12</f>
        <v>15.8</v>
      </c>
      <c r="F12" s="203">
        <f>E12*C12</f>
        <v>433.71000000000004</v>
      </c>
      <c r="G12" s="59">
        <v>15.8</v>
      </c>
      <c r="H12" s="48"/>
      <c r="I12" s="48">
        <f>IF(D12=0," ",(G12)*(Details!$C$4+Details!$C$8))</f>
        <v>2.3700000000000006</v>
      </c>
      <c r="J12" s="203">
        <f>IF(D12=0," ",(H12)*(Details!$C$6+Details!$C$8))</f>
        <v>0</v>
      </c>
      <c r="K12" s="59">
        <f>+G12*C12</f>
        <v>433.71000000000004</v>
      </c>
      <c r="L12" s="48">
        <f>+H12*C12</f>
        <v>0</v>
      </c>
      <c r="M12" s="48">
        <f>IF(D12=0," ",(I12*C12))</f>
        <v>65.056500000000014</v>
      </c>
      <c r="N12" s="203">
        <f>IF(D12=0," ",(J12*C12))</f>
        <v>0</v>
      </c>
    </row>
    <row r="13" spans="1:14" s="21" customFormat="1" ht="18" x14ac:dyDescent="0.35">
      <c r="A13" s="75" t="str">
        <f>IF(F13&lt;&gt;"",(LARGE(A$7:A12,1)+1),"")</f>
        <v/>
      </c>
      <c r="B13" s="152"/>
      <c r="C13" s="146"/>
      <c r="D13" s="51"/>
      <c r="E13" s="48"/>
      <c r="F13" s="203"/>
      <c r="G13" s="59"/>
      <c r="H13" s="48"/>
      <c r="I13" s="48"/>
      <c r="J13" s="203"/>
      <c r="K13" s="99"/>
      <c r="L13" s="99"/>
      <c r="M13" s="99"/>
      <c r="N13" s="203" t="str">
        <f t="shared" si="0"/>
        <v xml:space="preserve"> </v>
      </c>
    </row>
    <row r="14" spans="1:14" s="38" customFormat="1" ht="18" x14ac:dyDescent="0.35">
      <c r="A14" s="75" t="str">
        <f>IF(F14&lt;&gt;"",(LARGE(A$7:A13,1)+1),"")</f>
        <v/>
      </c>
      <c r="B14" s="161" t="s">
        <v>229</v>
      </c>
      <c r="C14" s="146"/>
      <c r="D14" s="51"/>
      <c r="E14" s="48"/>
      <c r="F14" s="203"/>
      <c r="G14" s="59"/>
      <c r="H14" s="48"/>
      <c r="I14" s="48" t="str">
        <f>IF(D14=0," ",(G14)*(Details!$C$4+Details!$C$8))</f>
        <v xml:space="preserve"> </v>
      </c>
      <c r="J14" s="203" t="str">
        <f>IF(D14=0," ",(H14)*(Details!$C$6+Details!$C$8))</f>
        <v xml:space="preserve"> </v>
      </c>
      <c r="K14" s="99"/>
      <c r="L14" s="99"/>
      <c r="M14" s="99"/>
      <c r="N14" s="203" t="str">
        <f t="shared" si="0"/>
        <v xml:space="preserve"> </v>
      </c>
    </row>
    <row r="15" spans="1:14" s="38" customFormat="1" ht="18" x14ac:dyDescent="0.35">
      <c r="A15" s="75">
        <f>IF(F15&lt;&gt;"",(LARGE(A$7:A14,1)+1),"")</f>
        <v>3</v>
      </c>
      <c r="B15" s="38" t="s">
        <v>225</v>
      </c>
      <c r="C15" s="146">
        <v>19.88</v>
      </c>
      <c r="D15" s="51" t="s">
        <v>46</v>
      </c>
      <c r="E15" s="48">
        <f t="shared" si="1"/>
        <v>55</v>
      </c>
      <c r="F15" s="203">
        <f>E15*C15</f>
        <v>1093.3999999999999</v>
      </c>
      <c r="G15" s="59">
        <v>55</v>
      </c>
      <c r="H15" s="48"/>
      <c r="I15" s="48">
        <f>IF(D15=0," ",(G15)*(Details!$C$4+Details!$C$8))</f>
        <v>8.2500000000000018</v>
      </c>
      <c r="J15" s="203">
        <f>IF(D15=0," ",(H15)*(Details!$C$6+Details!$C$8))</f>
        <v>0</v>
      </c>
      <c r="K15" s="59">
        <f>+G15*C15</f>
        <v>1093.3999999999999</v>
      </c>
      <c r="L15" s="48">
        <f>+H15*C15</f>
        <v>0</v>
      </c>
      <c r="M15" s="48">
        <f>IF(D15=0," ",(I15*C15))</f>
        <v>164.01000000000002</v>
      </c>
      <c r="N15" s="203">
        <f>IF(D15=0," ",(J15*C15))</f>
        <v>0</v>
      </c>
    </row>
    <row r="16" spans="1:14" s="38" customFormat="1" ht="18" x14ac:dyDescent="0.35">
      <c r="A16" s="75" t="str">
        <f>IF(F16&lt;&gt;"",(LARGE(A$7:A15,1)+1),"")</f>
        <v/>
      </c>
      <c r="C16" s="146"/>
      <c r="D16" s="51"/>
      <c r="E16" s="48"/>
      <c r="F16" s="203"/>
      <c r="G16" s="59"/>
      <c r="H16" s="48"/>
      <c r="I16" s="48"/>
      <c r="J16" s="203"/>
      <c r="K16" s="48"/>
      <c r="L16" s="48"/>
      <c r="M16" s="48"/>
      <c r="N16" s="203"/>
    </row>
    <row r="17" spans="1:14" s="21" customFormat="1" ht="18" x14ac:dyDescent="0.35">
      <c r="A17" s="75">
        <f>IF(F17&lt;&gt;"",(LARGE(A$7:A16,1)+1),"")</f>
        <v>4</v>
      </c>
      <c r="B17" s="152" t="s">
        <v>47</v>
      </c>
      <c r="C17" s="146">
        <f>C15</f>
        <v>19.88</v>
      </c>
      <c r="D17" s="51" t="s">
        <v>46</v>
      </c>
      <c r="E17" s="48">
        <f t="shared" si="1"/>
        <v>46.5</v>
      </c>
      <c r="F17" s="203">
        <f>E17*C17</f>
        <v>924.42</v>
      </c>
      <c r="G17" s="59">
        <v>46.5</v>
      </c>
      <c r="H17" s="48"/>
      <c r="I17" s="48">
        <f>IF(D17=0," ",(G17)*(Details!$C$4+Details!$C$8))</f>
        <v>6.9750000000000014</v>
      </c>
      <c r="J17" s="203">
        <f>IF(D17=0," ",(H17)*(Details!$C$6+Details!$C$8))</f>
        <v>0</v>
      </c>
      <c r="K17" s="59">
        <f>+G17*C17</f>
        <v>924.42</v>
      </c>
      <c r="L17" s="48">
        <f>+H17*C17</f>
        <v>0</v>
      </c>
      <c r="M17" s="48">
        <f>IF(D17=0," ",(I17*C17))</f>
        <v>138.66300000000001</v>
      </c>
      <c r="N17" s="203">
        <f>IF(D17=0," ",(J17*C17))</f>
        <v>0</v>
      </c>
    </row>
    <row r="18" spans="1:14" s="21" customFormat="1" ht="18" x14ac:dyDescent="0.35">
      <c r="A18" s="75" t="str">
        <f>IF(F18&lt;&gt;"",(LARGE(A$7:A17,1)+1),"")</f>
        <v/>
      </c>
      <c r="B18" s="152"/>
      <c r="C18" s="146"/>
      <c r="D18" s="51"/>
      <c r="E18" s="48"/>
      <c r="F18" s="203"/>
      <c r="G18" s="59"/>
      <c r="H18" s="48"/>
      <c r="I18" s="48"/>
      <c r="J18" s="203"/>
      <c r="K18" s="59"/>
      <c r="L18" s="48"/>
      <c r="M18" s="48"/>
      <c r="N18" s="203" t="str">
        <f t="shared" si="0"/>
        <v xml:space="preserve"> </v>
      </c>
    </row>
    <row r="19" spans="1:14" s="21" customFormat="1" ht="18" x14ac:dyDescent="0.35">
      <c r="A19" s="75" t="str">
        <f>IF(F19&lt;&gt;"",(LARGE(A$7:A18,1)+1),"")</f>
        <v/>
      </c>
      <c r="B19" s="161" t="s">
        <v>289</v>
      </c>
      <c r="C19" s="146"/>
      <c r="D19" s="51"/>
      <c r="E19" s="48"/>
      <c r="F19" s="203"/>
      <c r="G19" s="59"/>
      <c r="H19" s="48"/>
      <c r="I19" s="48"/>
      <c r="J19" s="203"/>
      <c r="K19" s="59"/>
      <c r="L19" s="48"/>
      <c r="M19" s="48"/>
      <c r="N19" s="203"/>
    </row>
    <row r="20" spans="1:14" s="21" customFormat="1" ht="18" x14ac:dyDescent="0.35">
      <c r="A20" s="75">
        <f>IF(F20&lt;&gt;"",(LARGE(A$7:A19,1)+1),"")</f>
        <v>5</v>
      </c>
      <c r="B20" s="152" t="s">
        <v>265</v>
      </c>
      <c r="C20" s="146">
        <f>15*0.5*0.85</f>
        <v>6.375</v>
      </c>
      <c r="D20" s="51" t="s">
        <v>46</v>
      </c>
      <c r="E20" s="48">
        <f t="shared" si="1"/>
        <v>310</v>
      </c>
      <c r="F20" s="203">
        <f>E20*C20</f>
        <v>1976.25</v>
      </c>
      <c r="G20" s="59">
        <v>130</v>
      </c>
      <c r="H20" s="48">
        <v>180</v>
      </c>
      <c r="I20" s="48">
        <f>IF(D20=0," ",(G20)*(Details!$C$4+Details!$C$8))</f>
        <v>19.500000000000004</v>
      </c>
      <c r="J20" s="203">
        <f>IF(D20=0," ",(H20)*(Details!$C$6+Details!$C$8))</f>
        <v>27.000000000000004</v>
      </c>
      <c r="K20" s="59">
        <f t="shared" ref="K20" si="2">+G20*C20</f>
        <v>828.75</v>
      </c>
      <c r="L20" s="48">
        <f t="shared" ref="L20" si="3">+H20*C20</f>
        <v>1147.5</v>
      </c>
      <c r="M20" s="48">
        <f t="shared" ref="M20" si="4">IF(D20=0," ",(I20*C20))</f>
        <v>124.31250000000003</v>
      </c>
      <c r="N20" s="203">
        <f t="shared" ref="N20" si="5">IF(D20=0," ",(J20*C20))</f>
        <v>172.12500000000003</v>
      </c>
    </row>
    <row r="21" spans="1:14" s="21" customFormat="1" ht="18" x14ac:dyDescent="0.35">
      <c r="A21" s="75"/>
      <c r="B21" s="152"/>
      <c r="C21" s="146"/>
      <c r="D21" s="51"/>
      <c r="E21" s="48"/>
      <c r="F21" s="203"/>
      <c r="G21" s="59"/>
      <c r="H21" s="48"/>
      <c r="I21" s="48"/>
      <c r="J21" s="203"/>
      <c r="K21" s="59"/>
      <c r="L21" s="48"/>
      <c r="M21" s="48"/>
      <c r="N21" s="203"/>
    </row>
    <row r="22" spans="1:14" s="21" customFormat="1" ht="18" x14ac:dyDescent="0.35">
      <c r="A22" s="75">
        <f>IF(F22&lt;&gt;"",(LARGE(A$7:A20,1)+1),"")</f>
        <v>6</v>
      </c>
      <c r="B22" s="152" t="s">
        <v>266</v>
      </c>
      <c r="C22" s="146">
        <f>15*0.5</f>
        <v>7.5</v>
      </c>
      <c r="D22" s="51" t="s">
        <v>10</v>
      </c>
      <c r="E22" s="48">
        <f t="shared" si="1"/>
        <v>29.4</v>
      </c>
      <c r="F22" s="203">
        <f t="shared" ref="F22:F24" si="6">E22*C22</f>
        <v>220.5</v>
      </c>
      <c r="G22" s="59">
        <v>10</v>
      </c>
      <c r="H22" s="48">
        <v>19.399999999999999</v>
      </c>
      <c r="I22" s="48">
        <f>IF(D22=0," ",(G22)*(Details!$C$4+Details!$C$8))</f>
        <v>1.5000000000000002</v>
      </c>
      <c r="J22" s="203">
        <f>IF(D22=0," ",(H22)*(Details!$C$6+Details!$C$8))</f>
        <v>2.91</v>
      </c>
      <c r="K22" s="59">
        <f t="shared" ref="K22:K24" si="7">+G22*C22</f>
        <v>75</v>
      </c>
      <c r="L22" s="48">
        <f t="shared" ref="L22:L24" si="8">+H22*C22</f>
        <v>145.5</v>
      </c>
      <c r="M22" s="48">
        <f t="shared" ref="M22:M24" si="9">IF(D22=0," ",(I22*C22))</f>
        <v>11.250000000000002</v>
      </c>
      <c r="N22" s="203">
        <f t="shared" ref="N22:N24" si="10">IF(D22=0," ",(J22*C22))</f>
        <v>21.825000000000003</v>
      </c>
    </row>
    <row r="23" spans="1:14" s="21" customFormat="1" ht="18" x14ac:dyDescent="0.35">
      <c r="A23" s="75"/>
      <c r="B23" s="152"/>
      <c r="C23" s="146"/>
      <c r="D23" s="51"/>
      <c r="E23" s="48"/>
      <c r="F23" s="203"/>
      <c r="G23" s="59"/>
      <c r="H23" s="48"/>
      <c r="I23" s="48"/>
      <c r="J23" s="203"/>
      <c r="K23" s="59"/>
      <c r="L23" s="48"/>
      <c r="M23" s="48"/>
      <c r="N23" s="203"/>
    </row>
    <row r="24" spans="1:14" s="21" customFormat="1" ht="18" x14ac:dyDescent="0.35">
      <c r="A24" s="75">
        <f>IF(F24&lt;&gt;"",(LARGE(A$7:A22,1)+1),"")</f>
        <v>7</v>
      </c>
      <c r="B24" s="152" t="s">
        <v>226</v>
      </c>
      <c r="C24" s="146">
        <f>15*0.85*2</f>
        <v>25.5</v>
      </c>
      <c r="D24" s="51" t="s">
        <v>10</v>
      </c>
      <c r="E24" s="48">
        <f t="shared" si="1"/>
        <v>13.4</v>
      </c>
      <c r="F24" s="203">
        <f t="shared" si="6"/>
        <v>341.7</v>
      </c>
      <c r="G24" s="59">
        <v>13.4</v>
      </c>
      <c r="H24" s="48">
        <v>0</v>
      </c>
      <c r="I24" s="48">
        <f>IF(D24=0," ",(G24)*(Details!$C$4+Details!$C$8))</f>
        <v>2.0100000000000002</v>
      </c>
      <c r="J24" s="203">
        <f>IF(D24=0," ",(H24)*(Details!$C$6+Details!$C$8))</f>
        <v>0</v>
      </c>
      <c r="K24" s="59">
        <f t="shared" si="7"/>
        <v>341.7</v>
      </c>
      <c r="L24" s="48">
        <f t="shared" si="8"/>
        <v>0</v>
      </c>
      <c r="M24" s="48">
        <f t="shared" si="9"/>
        <v>51.255000000000003</v>
      </c>
      <c r="N24" s="203">
        <f t="shared" si="10"/>
        <v>0</v>
      </c>
    </row>
    <row r="25" spans="1:14" s="21" customFormat="1" ht="18" x14ac:dyDescent="0.35">
      <c r="A25" s="75" t="str">
        <f>IF(F25&lt;&gt;"",(LARGE(A$7:A24,1)+1),"")</f>
        <v/>
      </c>
      <c r="B25" s="152"/>
      <c r="C25" s="146"/>
      <c r="D25" s="51"/>
      <c r="E25" s="48"/>
      <c r="F25" s="203"/>
      <c r="G25" s="59"/>
      <c r="H25" s="48"/>
      <c r="I25" s="48"/>
      <c r="J25" s="203"/>
      <c r="K25" s="59"/>
      <c r="L25" s="48"/>
      <c r="M25" s="48"/>
      <c r="N25" s="203"/>
    </row>
    <row r="26" spans="1:14" s="21" customFormat="1" ht="18" x14ac:dyDescent="0.35">
      <c r="A26" s="75">
        <f>IF(F26&lt;&gt;"",(LARGE(A$7:A25,1)+1),"")</f>
        <v>8</v>
      </c>
      <c r="B26" s="152" t="s">
        <v>267</v>
      </c>
      <c r="C26" s="146">
        <f>3*0.6*0.85</f>
        <v>1.5299999999999998</v>
      </c>
      <c r="D26" s="51" t="s">
        <v>46</v>
      </c>
      <c r="E26" s="48">
        <f t="shared" si="1"/>
        <v>310</v>
      </c>
      <c r="F26" s="203">
        <f t="shared" ref="F26:F30" si="11">E26*C26</f>
        <v>474.29999999999995</v>
      </c>
      <c r="G26" s="59">
        <v>130</v>
      </c>
      <c r="H26" s="48">
        <v>180</v>
      </c>
      <c r="I26" s="48">
        <f>IF(D26=0," ",(G26)*(Details!$C$4+Details!$C$8))</f>
        <v>19.500000000000004</v>
      </c>
      <c r="J26" s="203">
        <f>IF(D26=0," ",(H26)*(Details!$C$6+Details!$C$8))</f>
        <v>27.000000000000004</v>
      </c>
      <c r="K26" s="59">
        <f t="shared" ref="K26:K30" si="12">+G26*C26</f>
        <v>198.89999999999998</v>
      </c>
      <c r="L26" s="48">
        <f t="shared" ref="L26:L30" si="13">+H26*C26</f>
        <v>275.39999999999998</v>
      </c>
      <c r="M26" s="48">
        <f t="shared" ref="M26:M30" si="14">IF(D26=0," ",(I26*C26))</f>
        <v>29.835000000000001</v>
      </c>
      <c r="N26" s="203">
        <f t="shared" ref="N26:N30" si="15">IF(D26=0," ",(J26*C26))</f>
        <v>41.31</v>
      </c>
    </row>
    <row r="27" spans="1:14" s="21" customFormat="1" ht="18" x14ac:dyDescent="0.35">
      <c r="A27" s="75"/>
      <c r="B27" s="152"/>
      <c r="C27" s="146"/>
      <c r="D27" s="51"/>
      <c r="E27" s="48"/>
      <c r="F27" s="203"/>
      <c r="G27" s="59"/>
      <c r="H27" s="48"/>
      <c r="I27" s="48"/>
      <c r="J27" s="203"/>
      <c r="K27" s="59"/>
      <c r="L27" s="48"/>
      <c r="M27" s="48"/>
      <c r="N27" s="203"/>
    </row>
    <row r="28" spans="1:14" s="21" customFormat="1" ht="18" x14ac:dyDescent="0.35">
      <c r="A28" s="75">
        <f>IF(F28&lt;&gt;"",(LARGE(A$7:A26,1)+1),"")</f>
        <v>9</v>
      </c>
      <c r="B28" s="152" t="s">
        <v>266</v>
      </c>
      <c r="C28" s="146">
        <f>3*0.6</f>
        <v>1.7999999999999998</v>
      </c>
      <c r="D28" s="51" t="s">
        <v>10</v>
      </c>
      <c r="E28" s="48">
        <f t="shared" si="1"/>
        <v>29.4</v>
      </c>
      <c r="F28" s="203">
        <f t="shared" si="11"/>
        <v>52.919999999999995</v>
      </c>
      <c r="G28" s="59">
        <v>10</v>
      </c>
      <c r="H28" s="48">
        <v>19.399999999999999</v>
      </c>
      <c r="I28" s="48">
        <f>IF(D28=0," ",(G28)*(Details!$C$4+Details!$C$8))</f>
        <v>1.5000000000000002</v>
      </c>
      <c r="J28" s="203">
        <f>IF(D28=0," ",(H28)*(Details!$C$6+Details!$C$8))</f>
        <v>2.91</v>
      </c>
      <c r="K28" s="59">
        <f t="shared" si="12"/>
        <v>18</v>
      </c>
      <c r="L28" s="48">
        <f t="shared" si="13"/>
        <v>34.919999999999995</v>
      </c>
      <c r="M28" s="48">
        <f t="shared" si="14"/>
        <v>2.7</v>
      </c>
      <c r="N28" s="203">
        <f t="shared" si="15"/>
        <v>5.2379999999999995</v>
      </c>
    </row>
    <row r="29" spans="1:14" s="21" customFormat="1" ht="18" x14ac:dyDescent="0.35">
      <c r="A29" s="75"/>
      <c r="B29" s="152"/>
      <c r="C29" s="146"/>
      <c r="D29" s="51"/>
      <c r="E29" s="48"/>
      <c r="F29" s="203"/>
      <c r="G29" s="59"/>
      <c r="H29" s="48"/>
      <c r="I29" s="48"/>
      <c r="J29" s="203"/>
      <c r="K29" s="59"/>
      <c r="L29" s="48"/>
      <c r="M29" s="48"/>
      <c r="N29" s="203"/>
    </row>
    <row r="30" spans="1:14" s="21" customFormat="1" ht="18" x14ac:dyDescent="0.35">
      <c r="A30" s="75">
        <f>IF(F30&lt;&gt;"",(LARGE(A$7:A28,1)+1),"")</f>
        <v>10</v>
      </c>
      <c r="B30" s="152" t="s">
        <v>226</v>
      </c>
      <c r="C30" s="146">
        <f>3*0.85*2</f>
        <v>5.0999999999999996</v>
      </c>
      <c r="D30" s="51" t="s">
        <v>10</v>
      </c>
      <c r="E30" s="48">
        <f t="shared" si="1"/>
        <v>13.4</v>
      </c>
      <c r="F30" s="203">
        <f t="shared" si="11"/>
        <v>68.34</v>
      </c>
      <c r="G30" s="59">
        <v>13.4</v>
      </c>
      <c r="H30" s="48">
        <v>0</v>
      </c>
      <c r="I30" s="48">
        <f>IF(D30=0," ",(G30)*(Details!$C$4+Details!$C$8))</f>
        <v>2.0100000000000002</v>
      </c>
      <c r="J30" s="203">
        <f>IF(D30=0," ",(H30)*(Details!$C$6+Details!$C$8))</f>
        <v>0</v>
      </c>
      <c r="K30" s="59">
        <f t="shared" si="12"/>
        <v>68.34</v>
      </c>
      <c r="L30" s="48">
        <f t="shared" si="13"/>
        <v>0</v>
      </c>
      <c r="M30" s="48">
        <f t="shared" si="14"/>
        <v>10.251000000000001</v>
      </c>
      <c r="N30" s="203">
        <f t="shared" si="15"/>
        <v>0</v>
      </c>
    </row>
    <row r="31" spans="1:14" s="21" customFormat="1" ht="18" x14ac:dyDescent="0.35">
      <c r="A31" s="75" t="str">
        <f>IF(F31&lt;&gt;"",(LARGE(A$7:A30,1)+1),"")</f>
        <v/>
      </c>
      <c r="B31" s="152"/>
      <c r="C31" s="146"/>
      <c r="D31" s="51"/>
      <c r="E31" s="48"/>
      <c r="F31" s="203"/>
      <c r="G31" s="59"/>
      <c r="H31" s="48"/>
      <c r="I31" s="48"/>
      <c r="J31" s="203"/>
      <c r="K31" s="59"/>
      <c r="L31" s="48"/>
      <c r="M31" s="48"/>
      <c r="N31" s="203"/>
    </row>
    <row r="32" spans="1:14" s="21" customFormat="1" ht="18" x14ac:dyDescent="0.35">
      <c r="A32" s="75">
        <f>IF(F32&lt;&gt;"",(LARGE(A$7:A31,1)+1),"")</f>
        <v>11</v>
      </c>
      <c r="B32" s="152" t="s">
        <v>268</v>
      </c>
      <c r="C32" s="146">
        <f>4*0.6*0.8</f>
        <v>1.92</v>
      </c>
      <c r="D32" s="51" t="s">
        <v>46</v>
      </c>
      <c r="E32" s="48">
        <f t="shared" si="1"/>
        <v>310</v>
      </c>
      <c r="F32" s="203">
        <f t="shared" ref="F32:F36" si="16">E32*C32</f>
        <v>595.19999999999993</v>
      </c>
      <c r="G32" s="59">
        <v>130</v>
      </c>
      <c r="H32" s="48">
        <v>180</v>
      </c>
      <c r="I32" s="48">
        <f>IF(D32=0," ",(G32)*(Details!$C$4+Details!$C$8))</f>
        <v>19.500000000000004</v>
      </c>
      <c r="J32" s="203">
        <f>IF(D32=0," ",(H32)*(Details!$C$6+Details!$C$8))</f>
        <v>27.000000000000004</v>
      </c>
      <c r="K32" s="59">
        <f t="shared" ref="K32:K36" si="17">+G32*C32</f>
        <v>249.6</v>
      </c>
      <c r="L32" s="48">
        <f t="shared" ref="L32:L36" si="18">+H32*C32</f>
        <v>345.59999999999997</v>
      </c>
      <c r="M32" s="48">
        <f t="shared" ref="M32:M36" si="19">IF(D32=0," ",(I32*C32))</f>
        <v>37.440000000000005</v>
      </c>
      <c r="N32" s="203">
        <f t="shared" ref="N32:N36" si="20">IF(D32=0," ",(J32*C32))</f>
        <v>51.84</v>
      </c>
    </row>
    <row r="33" spans="1:14" s="21" customFormat="1" ht="18" x14ac:dyDescent="0.35">
      <c r="A33" s="75"/>
      <c r="B33" s="152"/>
      <c r="C33" s="146"/>
      <c r="D33" s="51"/>
      <c r="E33" s="48"/>
      <c r="F33" s="203"/>
      <c r="G33" s="59"/>
      <c r="H33" s="48"/>
      <c r="I33" s="48"/>
      <c r="J33" s="203"/>
      <c r="K33" s="59"/>
      <c r="L33" s="48"/>
      <c r="M33" s="48"/>
      <c r="N33" s="203"/>
    </row>
    <row r="34" spans="1:14" s="21" customFormat="1" ht="18" x14ac:dyDescent="0.35">
      <c r="A34" s="75">
        <f>IF(F34&lt;&gt;"",(LARGE(A$7:A32,1)+1),"")</f>
        <v>12</v>
      </c>
      <c r="B34" s="152" t="s">
        <v>266</v>
      </c>
      <c r="C34" s="146">
        <f>4*0.6</f>
        <v>2.4</v>
      </c>
      <c r="D34" s="51" t="s">
        <v>10</v>
      </c>
      <c r="E34" s="48">
        <f t="shared" si="1"/>
        <v>29.4</v>
      </c>
      <c r="F34" s="203">
        <f t="shared" si="16"/>
        <v>70.559999999999988</v>
      </c>
      <c r="G34" s="59">
        <v>10</v>
      </c>
      <c r="H34" s="48">
        <v>19.399999999999999</v>
      </c>
      <c r="I34" s="48">
        <f>IF(D34=0," ",(G34)*(Details!$C$4+Details!$C$8))</f>
        <v>1.5000000000000002</v>
      </c>
      <c r="J34" s="203">
        <f>IF(D34=0," ",(H34)*(Details!$C$6+Details!$C$8))</f>
        <v>2.91</v>
      </c>
      <c r="K34" s="59">
        <f t="shared" si="17"/>
        <v>24</v>
      </c>
      <c r="L34" s="48">
        <f t="shared" si="18"/>
        <v>46.559999999999995</v>
      </c>
      <c r="M34" s="48">
        <f t="shared" si="19"/>
        <v>3.6000000000000005</v>
      </c>
      <c r="N34" s="203">
        <f t="shared" si="20"/>
        <v>6.984</v>
      </c>
    </row>
    <row r="35" spans="1:14" s="21" customFormat="1" ht="18" x14ac:dyDescent="0.35">
      <c r="A35" s="75"/>
      <c r="B35" s="152"/>
      <c r="C35" s="146"/>
      <c r="D35" s="51"/>
      <c r="E35" s="48"/>
      <c r="F35" s="203"/>
      <c r="G35" s="59"/>
      <c r="H35" s="48"/>
      <c r="I35" s="48"/>
      <c r="J35" s="203"/>
      <c r="K35" s="59"/>
      <c r="L35" s="48"/>
      <c r="M35" s="48"/>
      <c r="N35" s="203"/>
    </row>
    <row r="36" spans="1:14" s="21" customFormat="1" ht="18" x14ac:dyDescent="0.35">
      <c r="A36" s="75">
        <f>IF(F36&lt;&gt;"",(LARGE(A$7:A34,1)+1),"")</f>
        <v>13</v>
      </c>
      <c r="B36" s="152" t="s">
        <v>226</v>
      </c>
      <c r="C36" s="146">
        <f>4*0.8*2</f>
        <v>6.4</v>
      </c>
      <c r="D36" s="51" t="s">
        <v>10</v>
      </c>
      <c r="E36" s="48">
        <f t="shared" si="1"/>
        <v>13.4</v>
      </c>
      <c r="F36" s="203">
        <f t="shared" si="16"/>
        <v>85.76</v>
      </c>
      <c r="G36" s="59">
        <v>13.4</v>
      </c>
      <c r="H36" s="48">
        <v>0</v>
      </c>
      <c r="I36" s="48">
        <f>IF(D36=0," ",(G36)*(Details!$C$4+Details!$C$8))</f>
        <v>2.0100000000000002</v>
      </c>
      <c r="J36" s="203">
        <f>IF(D36=0," ",(H36)*(Details!$C$6+Details!$C$8))</f>
        <v>0</v>
      </c>
      <c r="K36" s="59">
        <f t="shared" si="17"/>
        <v>85.76</v>
      </c>
      <c r="L36" s="48">
        <f t="shared" si="18"/>
        <v>0</v>
      </c>
      <c r="M36" s="48">
        <f t="shared" si="19"/>
        <v>12.864000000000003</v>
      </c>
      <c r="N36" s="203">
        <f t="shared" si="20"/>
        <v>0</v>
      </c>
    </row>
    <row r="37" spans="1:14" s="21" customFormat="1" ht="18" x14ac:dyDescent="0.35">
      <c r="A37" s="75" t="str">
        <f>IF(F37&lt;&gt;"",(LARGE(A$7:A36,1)+1),"")</f>
        <v/>
      </c>
      <c r="B37" s="152"/>
      <c r="C37" s="146"/>
      <c r="D37" s="51"/>
      <c r="E37" s="48"/>
      <c r="F37" s="203"/>
      <c r="G37" s="59"/>
      <c r="H37" s="48"/>
      <c r="I37" s="48"/>
      <c r="J37" s="203"/>
      <c r="K37" s="59"/>
      <c r="L37" s="48"/>
      <c r="M37" s="48"/>
      <c r="N37" s="203"/>
    </row>
    <row r="38" spans="1:14" s="21" customFormat="1" ht="18" x14ac:dyDescent="0.35">
      <c r="A38" s="75">
        <f>IF(F38&lt;&gt;"",(LARGE(A$7:A37,1)+1),"")</f>
        <v>14</v>
      </c>
      <c r="B38" s="152" t="s">
        <v>269</v>
      </c>
      <c r="C38" s="146">
        <f>8*0.3*0.8</f>
        <v>1.92</v>
      </c>
      <c r="D38" s="51" t="s">
        <v>46</v>
      </c>
      <c r="E38" s="48">
        <f t="shared" si="1"/>
        <v>310</v>
      </c>
      <c r="F38" s="203">
        <f t="shared" ref="F38:F42" si="21">E38*C38</f>
        <v>595.19999999999993</v>
      </c>
      <c r="G38" s="59">
        <v>130</v>
      </c>
      <c r="H38" s="48">
        <v>180</v>
      </c>
      <c r="I38" s="48">
        <f>IF(D38=0," ",(G38)*(Details!$C$4+Details!$C$8))</f>
        <v>19.500000000000004</v>
      </c>
      <c r="J38" s="203">
        <f>IF(D38=0," ",(H38)*(Details!$C$6+Details!$C$8))</f>
        <v>27.000000000000004</v>
      </c>
      <c r="K38" s="59">
        <f t="shared" ref="K38:K42" si="22">+G38*C38</f>
        <v>249.6</v>
      </c>
      <c r="L38" s="48">
        <f t="shared" ref="L38:L42" si="23">+H38*C38</f>
        <v>345.59999999999997</v>
      </c>
      <c r="M38" s="48">
        <f t="shared" ref="M38:M42" si="24">IF(D38=0," ",(I38*C38))</f>
        <v>37.440000000000005</v>
      </c>
      <c r="N38" s="203">
        <f t="shared" ref="N38:N42" si="25">IF(D38=0," ",(J38*C38))</f>
        <v>51.84</v>
      </c>
    </row>
    <row r="39" spans="1:14" s="21" customFormat="1" ht="18" x14ac:dyDescent="0.35">
      <c r="A39" s="75"/>
      <c r="B39" s="152"/>
      <c r="C39" s="146"/>
      <c r="D39" s="51"/>
      <c r="E39" s="48"/>
      <c r="F39" s="203"/>
      <c r="G39" s="59"/>
      <c r="H39" s="48"/>
      <c r="I39" s="48"/>
      <c r="J39" s="203"/>
      <c r="K39" s="59"/>
      <c r="L39" s="48"/>
      <c r="M39" s="48"/>
      <c r="N39" s="203"/>
    </row>
    <row r="40" spans="1:14" s="21" customFormat="1" ht="18" x14ac:dyDescent="0.35">
      <c r="A40" s="75">
        <f>IF(F40&lt;&gt;"",(LARGE(A$7:A38,1)+1),"")</f>
        <v>15</v>
      </c>
      <c r="B40" s="152" t="s">
        <v>266</v>
      </c>
      <c r="C40" s="146">
        <f>8*0.3</f>
        <v>2.4</v>
      </c>
      <c r="D40" s="51" t="s">
        <v>10</v>
      </c>
      <c r="E40" s="48">
        <f t="shared" si="1"/>
        <v>29.4</v>
      </c>
      <c r="F40" s="203">
        <f t="shared" si="21"/>
        <v>70.559999999999988</v>
      </c>
      <c r="G40" s="59">
        <v>10</v>
      </c>
      <c r="H40" s="48">
        <v>19.399999999999999</v>
      </c>
      <c r="I40" s="48">
        <f>IF(D40=0," ",(G40)*(Details!$C$4+Details!$C$8))</f>
        <v>1.5000000000000002</v>
      </c>
      <c r="J40" s="203">
        <f>IF(D40=0," ",(H40)*(Details!$C$6+Details!$C$8))</f>
        <v>2.91</v>
      </c>
      <c r="K40" s="59">
        <f t="shared" si="22"/>
        <v>24</v>
      </c>
      <c r="L40" s="48">
        <f t="shared" si="23"/>
        <v>46.559999999999995</v>
      </c>
      <c r="M40" s="48">
        <f t="shared" si="24"/>
        <v>3.6000000000000005</v>
      </c>
      <c r="N40" s="203">
        <f t="shared" si="25"/>
        <v>6.984</v>
      </c>
    </row>
    <row r="41" spans="1:14" s="21" customFormat="1" ht="18" x14ac:dyDescent="0.35">
      <c r="A41" s="75"/>
      <c r="B41" s="152"/>
      <c r="C41" s="146"/>
      <c r="D41" s="51"/>
      <c r="E41" s="48"/>
      <c r="F41" s="203"/>
      <c r="G41" s="59"/>
      <c r="H41" s="48"/>
      <c r="I41" s="48"/>
      <c r="J41" s="203"/>
      <c r="K41" s="59"/>
      <c r="L41" s="48"/>
      <c r="M41" s="48"/>
      <c r="N41" s="203"/>
    </row>
    <row r="42" spans="1:14" s="21" customFormat="1" ht="18" x14ac:dyDescent="0.35">
      <c r="A42" s="75">
        <f>IF(F42&lt;&gt;"",(LARGE(A$7:A40,1)+1),"")</f>
        <v>16</v>
      </c>
      <c r="B42" s="152" t="s">
        <v>226</v>
      </c>
      <c r="C42" s="146">
        <f>8*0.8*2</f>
        <v>12.8</v>
      </c>
      <c r="D42" s="51" t="s">
        <v>10</v>
      </c>
      <c r="E42" s="48">
        <f t="shared" si="1"/>
        <v>13.4</v>
      </c>
      <c r="F42" s="203">
        <f t="shared" si="21"/>
        <v>171.52</v>
      </c>
      <c r="G42" s="59">
        <v>13.4</v>
      </c>
      <c r="H42" s="48">
        <v>0</v>
      </c>
      <c r="I42" s="48">
        <f>IF(D42=0," ",(G42)*(Details!$C$4+Details!$C$8))</f>
        <v>2.0100000000000002</v>
      </c>
      <c r="J42" s="203">
        <f>IF(D42=0," ",(H42)*(Details!$C$6+Details!$C$8))</f>
        <v>0</v>
      </c>
      <c r="K42" s="59">
        <f t="shared" si="22"/>
        <v>171.52</v>
      </c>
      <c r="L42" s="48">
        <f t="shared" si="23"/>
        <v>0</v>
      </c>
      <c r="M42" s="48">
        <f t="shared" si="24"/>
        <v>25.728000000000005</v>
      </c>
      <c r="N42" s="203">
        <f t="shared" si="25"/>
        <v>0</v>
      </c>
    </row>
    <row r="43" spans="1:14" s="21" customFormat="1" ht="18" x14ac:dyDescent="0.35">
      <c r="A43" s="75" t="str">
        <f>IF(F43&lt;&gt;"",(LARGE(A$7:A42,1)+1),"")</f>
        <v/>
      </c>
      <c r="B43" s="152"/>
      <c r="C43" s="146"/>
      <c r="D43" s="51"/>
      <c r="E43" s="48"/>
      <c r="F43" s="203"/>
      <c r="G43" s="59"/>
      <c r="H43" s="48"/>
      <c r="I43" s="48"/>
      <c r="J43" s="203"/>
      <c r="K43" s="59"/>
      <c r="L43" s="48"/>
      <c r="M43" s="48"/>
      <c r="N43" s="203"/>
    </row>
    <row r="44" spans="1:14" s="21" customFormat="1" ht="18" x14ac:dyDescent="0.35">
      <c r="A44" s="75" t="str">
        <f>IF(F44&lt;&gt;"",(LARGE(A$7:A43,1)+1),"")</f>
        <v/>
      </c>
      <c r="B44" s="161" t="s">
        <v>290</v>
      </c>
      <c r="C44" s="146"/>
      <c r="D44" s="51"/>
      <c r="E44" s="48"/>
      <c r="F44" s="203"/>
      <c r="G44" s="59"/>
      <c r="H44" s="48"/>
      <c r="I44" s="48"/>
      <c r="J44" s="203"/>
      <c r="K44" s="59"/>
      <c r="L44" s="48"/>
      <c r="M44" s="48"/>
      <c r="N44" s="203"/>
    </row>
    <row r="45" spans="1:14" s="21" customFormat="1" ht="18" x14ac:dyDescent="0.35">
      <c r="A45" s="75" t="str">
        <f>IF(F45&lt;&gt;"",(LARGE(A$7:A44,1)+1),"")</f>
        <v/>
      </c>
      <c r="B45" s="152" t="s">
        <v>270</v>
      </c>
      <c r="C45" s="146"/>
      <c r="D45" s="51"/>
      <c r="E45" s="48"/>
      <c r="F45" s="203"/>
      <c r="G45" s="59"/>
      <c r="H45" s="48"/>
      <c r="I45" s="48"/>
      <c r="J45" s="203"/>
      <c r="K45" s="59"/>
      <c r="L45" s="48"/>
      <c r="M45" s="48"/>
      <c r="N45" s="203"/>
    </row>
    <row r="46" spans="1:14" s="21" customFormat="1" ht="18" x14ac:dyDescent="0.35">
      <c r="A46" s="75">
        <f>IF(F46&lt;&gt;"",(LARGE(A$7:A45,1)+1),"")</f>
        <v>17</v>
      </c>
      <c r="B46" s="152" t="s">
        <v>271</v>
      </c>
      <c r="C46" s="146">
        <v>11</v>
      </c>
      <c r="D46" s="51" t="s">
        <v>13</v>
      </c>
      <c r="E46" s="48">
        <f t="shared" ref="E46:E52" si="26">G46+H46</f>
        <v>12.8</v>
      </c>
      <c r="F46" s="203">
        <f t="shared" ref="F46:F52" si="27">E46*C46</f>
        <v>140.80000000000001</v>
      </c>
      <c r="G46" s="59">
        <v>5</v>
      </c>
      <c r="H46" s="48">
        <v>7.8</v>
      </c>
      <c r="I46" s="48">
        <f>IF(D46=0," ",(G46)*(Details!$C$4+Details!$C$8))</f>
        <v>0.75000000000000011</v>
      </c>
      <c r="J46" s="203">
        <f>IF(D46=0," ",(H46)*(Details!$C$6+Details!$C$8))</f>
        <v>1.1700000000000002</v>
      </c>
      <c r="K46" s="59">
        <f t="shared" ref="K46:K52" si="28">+G46*C46</f>
        <v>55</v>
      </c>
      <c r="L46" s="48">
        <f t="shared" ref="L46:L52" si="29">+H46*C46</f>
        <v>85.8</v>
      </c>
      <c r="M46" s="48">
        <f t="shared" ref="M46:M52" si="30">IF(D46=0," ",(I46*C46))</f>
        <v>8.2500000000000018</v>
      </c>
      <c r="N46" s="203">
        <f t="shared" ref="N46:N52" si="31">IF(D46=0," ",(J46*C46))</f>
        <v>12.870000000000001</v>
      </c>
    </row>
    <row r="47" spans="1:14" s="21" customFormat="1" ht="18" x14ac:dyDescent="0.35">
      <c r="A47" s="75"/>
      <c r="B47" s="152"/>
      <c r="C47" s="146"/>
      <c r="D47" s="51"/>
      <c r="E47" s="48"/>
      <c r="F47" s="203"/>
      <c r="G47" s="59"/>
      <c r="H47" s="48"/>
      <c r="I47" s="48"/>
      <c r="J47" s="203"/>
      <c r="K47" s="59"/>
      <c r="L47" s="48"/>
      <c r="M47" s="48"/>
      <c r="N47" s="203"/>
    </row>
    <row r="48" spans="1:14" s="21" customFormat="1" ht="18" x14ac:dyDescent="0.35">
      <c r="A48" s="75">
        <f>IF(F48&lt;&gt;"",(LARGE(A$7:A46,1)+1),"")</f>
        <v>18</v>
      </c>
      <c r="B48" s="152" t="s">
        <v>272</v>
      </c>
      <c r="C48" s="146">
        <f>11*0.53</f>
        <v>5.83</v>
      </c>
      <c r="D48" s="51" t="s">
        <v>10</v>
      </c>
      <c r="E48" s="48">
        <f t="shared" si="26"/>
        <v>102.3</v>
      </c>
      <c r="F48" s="203">
        <f t="shared" si="27"/>
        <v>596.40899999999999</v>
      </c>
      <c r="G48" s="59">
        <v>34.5</v>
      </c>
      <c r="H48" s="48">
        <v>67.8</v>
      </c>
      <c r="I48" s="48">
        <f>IF(D48=0," ",(G48)*(Details!$C$4+Details!$C$8))</f>
        <v>5.1750000000000007</v>
      </c>
      <c r="J48" s="203">
        <f>IF(D48=0," ",(H48)*(Details!$C$6+Details!$C$8))</f>
        <v>10.170000000000002</v>
      </c>
      <c r="K48" s="59">
        <f t="shared" si="28"/>
        <v>201.13499999999999</v>
      </c>
      <c r="L48" s="48">
        <f t="shared" si="29"/>
        <v>395.274</v>
      </c>
      <c r="M48" s="48">
        <f t="shared" si="30"/>
        <v>30.170250000000003</v>
      </c>
      <c r="N48" s="203">
        <f t="shared" si="31"/>
        <v>59.291100000000007</v>
      </c>
    </row>
    <row r="49" spans="1:14" s="21" customFormat="1" ht="18" x14ac:dyDescent="0.35">
      <c r="A49" s="75"/>
      <c r="B49" s="152"/>
      <c r="C49" s="146"/>
      <c r="D49" s="51"/>
      <c r="E49" s="48"/>
      <c r="F49" s="203"/>
      <c r="G49" s="59"/>
      <c r="H49" s="48"/>
      <c r="I49" s="48"/>
      <c r="J49" s="203"/>
      <c r="K49" s="59"/>
      <c r="L49" s="48"/>
      <c r="M49" s="48"/>
      <c r="N49" s="203"/>
    </row>
    <row r="50" spans="1:14" s="21" customFormat="1" ht="18" x14ac:dyDescent="0.35">
      <c r="A50" s="75">
        <f>IF(F50&lt;&gt;"",(LARGE(A$7:A48,1)+1),"")</f>
        <v>19</v>
      </c>
      <c r="B50" s="152" t="s">
        <v>273</v>
      </c>
      <c r="C50" s="146">
        <f t="shared" ref="C50:C52" si="32">11*0.53</f>
        <v>5.83</v>
      </c>
      <c r="D50" s="51" t="s">
        <v>10</v>
      </c>
      <c r="E50" s="48">
        <f t="shared" si="26"/>
        <v>54.8</v>
      </c>
      <c r="F50" s="203">
        <f t="shared" si="27"/>
        <v>319.48399999999998</v>
      </c>
      <c r="G50" s="59">
        <v>20</v>
      </c>
      <c r="H50" s="48">
        <v>34.799999999999997</v>
      </c>
      <c r="I50" s="48">
        <f>IF(D50=0," ",(G50)*(Details!$C$4+Details!$C$8))</f>
        <v>3.0000000000000004</v>
      </c>
      <c r="J50" s="203">
        <f>IF(D50=0," ",(H50)*(Details!$C$6+Details!$C$8))</f>
        <v>5.2200000000000006</v>
      </c>
      <c r="K50" s="59">
        <f t="shared" si="28"/>
        <v>116.6</v>
      </c>
      <c r="L50" s="48">
        <f t="shared" si="29"/>
        <v>202.88399999999999</v>
      </c>
      <c r="M50" s="48">
        <f t="shared" si="30"/>
        <v>17.490000000000002</v>
      </c>
      <c r="N50" s="203">
        <f t="shared" si="31"/>
        <v>30.432600000000004</v>
      </c>
    </row>
    <row r="51" spans="1:14" s="21" customFormat="1" ht="18" x14ac:dyDescent="0.35">
      <c r="A51" s="75"/>
      <c r="B51" s="152"/>
      <c r="C51" s="146"/>
      <c r="D51" s="51"/>
      <c r="E51" s="48"/>
      <c r="F51" s="203"/>
      <c r="G51" s="59"/>
      <c r="H51" s="48"/>
      <c r="I51" s="48"/>
      <c r="J51" s="203"/>
      <c r="K51" s="59"/>
      <c r="L51" s="48"/>
      <c r="M51" s="48"/>
      <c r="N51" s="203"/>
    </row>
    <row r="52" spans="1:14" s="21" customFormat="1" ht="18" x14ac:dyDescent="0.35">
      <c r="A52" s="75">
        <f>IF(F52&lt;&gt;"",(LARGE(A$7:A50,1)+1),"")</f>
        <v>20</v>
      </c>
      <c r="B52" s="152" t="s">
        <v>274</v>
      </c>
      <c r="C52" s="146">
        <f t="shared" si="32"/>
        <v>5.83</v>
      </c>
      <c r="D52" s="51" t="s">
        <v>10</v>
      </c>
      <c r="E52" s="48">
        <f t="shared" si="26"/>
        <v>112.3</v>
      </c>
      <c r="F52" s="203">
        <f t="shared" si="27"/>
        <v>654.70899999999995</v>
      </c>
      <c r="G52" s="59">
        <v>37.799999999999997</v>
      </c>
      <c r="H52" s="48">
        <v>74.5</v>
      </c>
      <c r="I52" s="48">
        <f>IF(D52=0," ",(G52)*(Details!$C$4+Details!$C$8))</f>
        <v>5.6700000000000008</v>
      </c>
      <c r="J52" s="203">
        <f>IF(D52=0," ",(H52)*(Details!$C$6+Details!$C$8))</f>
        <v>11.175000000000002</v>
      </c>
      <c r="K52" s="59">
        <f t="shared" si="28"/>
        <v>220.374</v>
      </c>
      <c r="L52" s="48">
        <f t="shared" si="29"/>
        <v>434.33499999999998</v>
      </c>
      <c r="M52" s="48">
        <f t="shared" si="30"/>
        <v>33.056100000000008</v>
      </c>
      <c r="N52" s="203">
        <f t="shared" si="31"/>
        <v>65.150250000000014</v>
      </c>
    </row>
    <row r="53" spans="1:14" s="21" customFormat="1" ht="18" x14ac:dyDescent="0.35">
      <c r="A53" s="75" t="str">
        <f>IF(F53&lt;&gt;"",(LARGE(A$7:A52,1)+1),"")</f>
        <v/>
      </c>
      <c r="B53" s="152"/>
      <c r="C53" s="146"/>
      <c r="D53" s="51"/>
      <c r="E53" s="48"/>
      <c r="F53" s="203"/>
      <c r="G53" s="59"/>
      <c r="H53" s="48"/>
      <c r="I53" s="48"/>
      <c r="J53" s="203"/>
      <c r="K53" s="59"/>
      <c r="L53" s="48"/>
      <c r="M53" s="48"/>
      <c r="N53" s="203"/>
    </row>
    <row r="54" spans="1:14" s="21" customFormat="1" ht="18" x14ac:dyDescent="0.35">
      <c r="A54" s="75" t="str">
        <f>IF(F54&lt;&gt;"",(LARGE(A$7:A53,1)+1),"")</f>
        <v/>
      </c>
      <c r="B54" s="152" t="s">
        <v>275</v>
      </c>
      <c r="C54" s="146"/>
      <c r="D54" s="51"/>
      <c r="E54" s="48"/>
      <c r="F54" s="203"/>
      <c r="G54" s="59"/>
      <c r="H54" s="48"/>
      <c r="I54" s="48"/>
      <c r="J54" s="203"/>
      <c r="K54" s="59"/>
      <c r="L54" s="48"/>
      <c r="M54" s="48"/>
      <c r="N54" s="203"/>
    </row>
    <row r="55" spans="1:14" s="21" customFormat="1" ht="18" x14ac:dyDescent="0.35">
      <c r="A55" s="75">
        <f>IF(F55&lt;&gt;"",(LARGE(A$7:A54,1)+1),"")</f>
        <v>21</v>
      </c>
      <c r="B55" s="152" t="s">
        <v>271</v>
      </c>
      <c r="C55" s="146">
        <v>3</v>
      </c>
      <c r="D55" s="51" t="s">
        <v>13</v>
      </c>
      <c r="E55" s="48">
        <f t="shared" ref="E55:E61" si="33">G55+H55</f>
        <v>12.8</v>
      </c>
      <c r="F55" s="203">
        <f t="shared" ref="F55:F61" si="34">E55*C55</f>
        <v>38.400000000000006</v>
      </c>
      <c r="G55" s="59">
        <v>5</v>
      </c>
      <c r="H55" s="48">
        <v>7.8</v>
      </c>
      <c r="I55" s="48">
        <f>IF(D55=0," ",(G55)*(Details!$C$4+Details!$C$8))</f>
        <v>0.75000000000000011</v>
      </c>
      <c r="J55" s="203">
        <f>IF(D55=0," ",(H55)*(Details!$C$6+Details!$C$8))</f>
        <v>1.1700000000000002</v>
      </c>
      <c r="K55" s="59">
        <f t="shared" ref="K55:K61" si="35">+G55*C55</f>
        <v>15</v>
      </c>
      <c r="L55" s="48">
        <f t="shared" ref="L55:L61" si="36">+H55*C55</f>
        <v>23.4</v>
      </c>
      <c r="M55" s="48">
        <f t="shared" ref="M55:M61" si="37">IF(D55=0," ",(I55*C55))</f>
        <v>2.2500000000000004</v>
      </c>
      <c r="N55" s="203">
        <f t="shared" ref="N55:N61" si="38">IF(D55=0," ",(J55*C55))</f>
        <v>3.5100000000000007</v>
      </c>
    </row>
    <row r="56" spans="1:14" s="21" customFormat="1" ht="18" x14ac:dyDescent="0.35">
      <c r="A56" s="75"/>
      <c r="B56" s="152"/>
      <c r="C56" s="146"/>
      <c r="D56" s="51"/>
      <c r="E56" s="48"/>
      <c r="F56" s="203"/>
      <c r="G56" s="59"/>
      <c r="H56" s="48"/>
      <c r="I56" s="48"/>
      <c r="J56" s="203"/>
      <c r="K56" s="59"/>
      <c r="L56" s="48"/>
      <c r="M56" s="48"/>
      <c r="N56" s="203"/>
    </row>
    <row r="57" spans="1:14" s="21" customFormat="1" ht="18" x14ac:dyDescent="0.35">
      <c r="A57" s="75">
        <f>IF(F57&lt;&gt;"",(LARGE(A$7:A55,1)+1),"")</f>
        <v>22</v>
      </c>
      <c r="B57" s="152" t="s">
        <v>272</v>
      </c>
      <c r="C57" s="146">
        <f>3*0.6</f>
        <v>1.7999999999999998</v>
      </c>
      <c r="D57" s="51" t="s">
        <v>10</v>
      </c>
      <c r="E57" s="48">
        <f t="shared" si="33"/>
        <v>102.3</v>
      </c>
      <c r="F57" s="203">
        <f t="shared" si="34"/>
        <v>184.14</v>
      </c>
      <c r="G57" s="59">
        <v>34.5</v>
      </c>
      <c r="H57" s="48">
        <v>67.8</v>
      </c>
      <c r="I57" s="48">
        <f>IF(D57=0," ",(G57)*(Details!$C$4+Details!$C$8))</f>
        <v>5.1750000000000007</v>
      </c>
      <c r="J57" s="203">
        <f>IF(D57=0," ",(H57)*(Details!$C$6+Details!$C$8))</f>
        <v>10.170000000000002</v>
      </c>
      <c r="K57" s="59">
        <f t="shared" si="35"/>
        <v>62.099999999999994</v>
      </c>
      <c r="L57" s="48">
        <f t="shared" si="36"/>
        <v>122.03999999999998</v>
      </c>
      <c r="M57" s="48">
        <f t="shared" si="37"/>
        <v>9.3149999999999995</v>
      </c>
      <c r="N57" s="203">
        <f t="shared" si="38"/>
        <v>18.306000000000001</v>
      </c>
    </row>
    <row r="58" spans="1:14" s="21" customFormat="1" ht="18" x14ac:dyDescent="0.35">
      <c r="A58" s="75"/>
      <c r="B58" s="152"/>
      <c r="C58" s="146"/>
      <c r="D58" s="51"/>
      <c r="E58" s="48"/>
      <c r="F58" s="203"/>
      <c r="G58" s="59"/>
      <c r="H58" s="48"/>
      <c r="I58" s="48"/>
      <c r="J58" s="203"/>
      <c r="K58" s="59"/>
      <c r="L58" s="48"/>
      <c r="M58" s="48"/>
      <c r="N58" s="203"/>
    </row>
    <row r="59" spans="1:14" s="21" customFormat="1" ht="18" x14ac:dyDescent="0.35">
      <c r="A59" s="75">
        <f>IF(F59&lt;&gt;"",(LARGE(A$7:A57,1)+1),"")</f>
        <v>23</v>
      </c>
      <c r="B59" s="152" t="s">
        <v>276</v>
      </c>
      <c r="C59" s="146">
        <f t="shared" ref="C59:C61" si="39">3*0.6</f>
        <v>1.7999999999999998</v>
      </c>
      <c r="D59" s="51" t="s">
        <v>10</v>
      </c>
      <c r="E59" s="48">
        <f t="shared" si="33"/>
        <v>75.3</v>
      </c>
      <c r="F59" s="203">
        <f t="shared" si="34"/>
        <v>135.54</v>
      </c>
      <c r="G59" s="59">
        <v>26.5</v>
      </c>
      <c r="H59" s="48">
        <v>48.8</v>
      </c>
      <c r="I59" s="48">
        <f>IF(D59=0," ",(G59)*(Details!$C$4+Details!$C$8))</f>
        <v>3.9750000000000005</v>
      </c>
      <c r="J59" s="203">
        <f>IF(D59=0," ",(H59)*(Details!$C$6+Details!$C$8))</f>
        <v>7.32</v>
      </c>
      <c r="K59" s="59">
        <f t="shared" si="35"/>
        <v>47.699999999999996</v>
      </c>
      <c r="L59" s="48">
        <f t="shared" si="36"/>
        <v>87.839999999999989</v>
      </c>
      <c r="M59" s="48">
        <f t="shared" si="37"/>
        <v>7.1550000000000002</v>
      </c>
      <c r="N59" s="203">
        <f t="shared" si="38"/>
        <v>13.175999999999998</v>
      </c>
    </row>
    <row r="60" spans="1:14" s="21" customFormat="1" ht="18" x14ac:dyDescent="0.35">
      <c r="A60" s="75"/>
      <c r="B60" s="152"/>
      <c r="C60" s="146"/>
      <c r="D60" s="51"/>
      <c r="E60" s="48"/>
      <c r="F60" s="203"/>
      <c r="G60" s="59"/>
      <c r="H60" s="48"/>
      <c r="I60" s="48"/>
      <c r="J60" s="203"/>
      <c r="K60" s="59"/>
      <c r="L60" s="48"/>
      <c r="M60" s="48"/>
      <c r="N60" s="203"/>
    </row>
    <row r="61" spans="1:14" s="21" customFormat="1" ht="18" x14ac:dyDescent="0.35">
      <c r="A61" s="75">
        <f>IF(F61&lt;&gt;"",(LARGE(A$7:A59,1)+1),"")</f>
        <v>24</v>
      </c>
      <c r="B61" s="152" t="s">
        <v>277</v>
      </c>
      <c r="C61" s="146">
        <f t="shared" si="39"/>
        <v>1.7999999999999998</v>
      </c>
      <c r="D61" s="51" t="s">
        <v>10</v>
      </c>
      <c r="E61" s="48">
        <f t="shared" si="33"/>
        <v>158.80000000000001</v>
      </c>
      <c r="F61" s="203">
        <f t="shared" si="34"/>
        <v>285.83999999999997</v>
      </c>
      <c r="G61" s="59">
        <v>46.8</v>
      </c>
      <c r="H61" s="48">
        <v>112</v>
      </c>
      <c r="I61" s="48">
        <f>IF(D61=0," ",(G61)*(Details!$C$4+Details!$C$8))</f>
        <v>7.0200000000000005</v>
      </c>
      <c r="J61" s="203">
        <f>IF(D61=0," ",(H61)*(Details!$C$6+Details!$C$8))</f>
        <v>16.800000000000004</v>
      </c>
      <c r="K61" s="59">
        <f t="shared" si="35"/>
        <v>84.239999999999981</v>
      </c>
      <c r="L61" s="48">
        <f t="shared" si="36"/>
        <v>201.59999999999997</v>
      </c>
      <c r="M61" s="48">
        <f t="shared" si="37"/>
        <v>12.635999999999999</v>
      </c>
      <c r="N61" s="203">
        <f t="shared" si="38"/>
        <v>30.240000000000006</v>
      </c>
    </row>
    <row r="62" spans="1:14" s="21" customFormat="1" ht="18" x14ac:dyDescent="0.35">
      <c r="A62" s="75"/>
      <c r="B62" s="152"/>
      <c r="C62" s="146"/>
      <c r="D62" s="51"/>
      <c r="E62" s="48"/>
      <c r="F62" s="203"/>
      <c r="G62" s="59"/>
      <c r="H62" s="48"/>
      <c r="I62" s="48"/>
      <c r="J62" s="203"/>
      <c r="K62" s="59"/>
      <c r="L62" s="48"/>
      <c r="M62" s="48"/>
      <c r="N62" s="203"/>
    </row>
    <row r="63" spans="1:14" s="21" customFormat="1" ht="18" x14ac:dyDescent="0.35">
      <c r="A63" s="75" t="str">
        <f>IF(F63&lt;&gt;"",(LARGE(A$7:A62,1)+1),"")</f>
        <v/>
      </c>
      <c r="B63" s="152" t="s">
        <v>275</v>
      </c>
      <c r="C63" s="146"/>
      <c r="D63" s="51"/>
      <c r="E63" s="48"/>
      <c r="F63" s="203"/>
      <c r="G63" s="59"/>
      <c r="H63" s="48"/>
      <c r="I63" s="48"/>
      <c r="J63" s="203"/>
      <c r="K63" s="59"/>
      <c r="L63" s="48"/>
      <c r="M63" s="48"/>
      <c r="N63" s="203"/>
    </row>
    <row r="64" spans="1:14" s="21" customFormat="1" ht="18" x14ac:dyDescent="0.35">
      <c r="A64" s="75">
        <f>IF(F64&lt;&gt;"",(LARGE(A$7:A63,1)+1),"")</f>
        <v>25</v>
      </c>
      <c r="B64" s="152" t="s">
        <v>271</v>
      </c>
      <c r="C64" s="146">
        <v>6</v>
      </c>
      <c r="D64" s="51" t="s">
        <v>13</v>
      </c>
      <c r="E64" s="48">
        <f t="shared" ref="E64:E68" si="40">G64+H64</f>
        <v>12.8</v>
      </c>
      <c r="F64" s="203">
        <f t="shared" ref="F64:F68" si="41">E64*C64</f>
        <v>76.800000000000011</v>
      </c>
      <c r="G64" s="59">
        <v>5</v>
      </c>
      <c r="H64" s="48">
        <v>7.8</v>
      </c>
      <c r="I64" s="48">
        <f>IF(D64=0," ",(G64)*(Details!$C$4+Details!$C$8))</f>
        <v>0.75000000000000011</v>
      </c>
      <c r="J64" s="203">
        <f>IF(D64=0," ",(H64)*(Details!$C$6+Details!$C$8))</f>
        <v>1.1700000000000002</v>
      </c>
      <c r="K64" s="59">
        <f t="shared" ref="K64:K68" si="42">+G64*C64</f>
        <v>30</v>
      </c>
      <c r="L64" s="48">
        <f t="shared" ref="L64:L68" si="43">+H64*C64</f>
        <v>46.8</v>
      </c>
      <c r="M64" s="48">
        <f t="shared" ref="M64:M68" si="44">IF(D64=0," ",(I64*C64))</f>
        <v>4.5000000000000009</v>
      </c>
      <c r="N64" s="203">
        <f t="shared" ref="N64:N68" si="45">IF(D64=0," ",(J64*C64))</f>
        <v>7.0200000000000014</v>
      </c>
    </row>
    <row r="65" spans="1:14" s="21" customFormat="1" ht="18" x14ac:dyDescent="0.35">
      <c r="A65" s="75"/>
      <c r="B65" s="152"/>
      <c r="C65" s="146"/>
      <c r="D65" s="51"/>
      <c r="E65" s="48"/>
      <c r="F65" s="203"/>
      <c r="G65" s="59"/>
      <c r="H65" s="48"/>
      <c r="I65" s="48"/>
      <c r="J65" s="203"/>
      <c r="K65" s="59"/>
      <c r="L65" s="48"/>
      <c r="M65" s="48"/>
      <c r="N65" s="203"/>
    </row>
    <row r="66" spans="1:14" s="21" customFormat="1" ht="18" x14ac:dyDescent="0.35">
      <c r="A66" s="75">
        <f>IF(F66&lt;&gt;"",(LARGE(A$7:A64,1)+1),"")</f>
        <v>26</v>
      </c>
      <c r="B66" s="152" t="s">
        <v>272</v>
      </c>
      <c r="C66" s="146">
        <f>6*0.6</f>
        <v>3.5999999999999996</v>
      </c>
      <c r="D66" s="51" t="s">
        <v>10</v>
      </c>
      <c r="E66" s="48">
        <f t="shared" si="40"/>
        <v>102.3</v>
      </c>
      <c r="F66" s="203">
        <f t="shared" si="41"/>
        <v>368.28</v>
      </c>
      <c r="G66" s="59">
        <v>34.5</v>
      </c>
      <c r="H66" s="48">
        <v>67.8</v>
      </c>
      <c r="I66" s="48">
        <f>IF(D66=0," ",(G66)*(Details!$C$4+Details!$C$8))</f>
        <v>5.1750000000000007</v>
      </c>
      <c r="J66" s="203">
        <f>IF(D66=0," ",(H66)*(Details!$C$6+Details!$C$8))</f>
        <v>10.170000000000002</v>
      </c>
      <c r="K66" s="59">
        <f t="shared" si="42"/>
        <v>124.19999999999999</v>
      </c>
      <c r="L66" s="48">
        <f t="shared" si="43"/>
        <v>244.07999999999996</v>
      </c>
      <c r="M66" s="48">
        <f t="shared" si="44"/>
        <v>18.63</v>
      </c>
      <c r="N66" s="203">
        <f t="shared" si="45"/>
        <v>36.612000000000002</v>
      </c>
    </row>
    <row r="67" spans="1:14" s="21" customFormat="1" ht="18" x14ac:dyDescent="0.35">
      <c r="A67" s="75"/>
      <c r="B67" s="152"/>
      <c r="C67" s="146"/>
      <c r="D67" s="51"/>
      <c r="E67" s="48"/>
      <c r="F67" s="203"/>
      <c r="G67" s="59"/>
      <c r="H67" s="48"/>
      <c r="I67" s="48"/>
      <c r="J67" s="203"/>
      <c r="K67" s="59"/>
      <c r="L67" s="48"/>
      <c r="M67" s="48"/>
      <c r="N67" s="203"/>
    </row>
    <row r="68" spans="1:14" s="21" customFormat="1" ht="18" x14ac:dyDescent="0.35">
      <c r="A68" s="75">
        <f>IF(F68&lt;&gt;"",(LARGE(A$7:A66,1)+1),"")</f>
        <v>27</v>
      </c>
      <c r="B68" s="152" t="s">
        <v>272</v>
      </c>
      <c r="C68" s="146">
        <f>6*0.6</f>
        <v>3.5999999999999996</v>
      </c>
      <c r="D68" s="51" t="s">
        <v>10</v>
      </c>
      <c r="E68" s="48">
        <f t="shared" si="40"/>
        <v>102.3</v>
      </c>
      <c r="F68" s="203">
        <f t="shared" si="41"/>
        <v>368.28</v>
      </c>
      <c r="G68" s="59">
        <v>34.5</v>
      </c>
      <c r="H68" s="48">
        <v>67.8</v>
      </c>
      <c r="I68" s="48">
        <f>IF(D68=0," ",(G68)*(Details!$C$4+Details!$C$8))</f>
        <v>5.1750000000000007</v>
      </c>
      <c r="J68" s="203">
        <f>IF(D68=0," ",(H68)*(Details!$C$6+Details!$C$8))</f>
        <v>10.170000000000002</v>
      </c>
      <c r="K68" s="59">
        <f t="shared" si="42"/>
        <v>124.19999999999999</v>
      </c>
      <c r="L68" s="48">
        <f t="shared" si="43"/>
        <v>244.07999999999996</v>
      </c>
      <c r="M68" s="48">
        <f t="shared" si="44"/>
        <v>18.63</v>
      </c>
      <c r="N68" s="203">
        <f t="shared" si="45"/>
        <v>36.612000000000002</v>
      </c>
    </row>
    <row r="69" spans="1:14" s="21" customFormat="1" ht="18" x14ac:dyDescent="0.35">
      <c r="A69" s="75" t="str">
        <f>IF(F69&lt;&gt;"",(LARGE(A$7:A68,1)+1),"")</f>
        <v/>
      </c>
      <c r="B69" s="152"/>
      <c r="C69" s="146"/>
      <c r="D69" s="51"/>
      <c r="E69" s="48"/>
      <c r="F69" s="203"/>
      <c r="G69" s="59"/>
      <c r="H69" s="48"/>
      <c r="I69" s="48"/>
      <c r="J69" s="203"/>
      <c r="K69" s="59"/>
      <c r="L69" s="48"/>
      <c r="M69" s="48"/>
      <c r="N69" s="203"/>
    </row>
    <row r="70" spans="1:14" s="21" customFormat="1" ht="18" x14ac:dyDescent="0.35">
      <c r="A70" s="75" t="str">
        <f>IF(F70&lt;&gt;"",(LARGE(A$7:A69,1)+1),"")</f>
        <v/>
      </c>
      <c r="B70" s="152" t="s">
        <v>278</v>
      </c>
      <c r="C70" s="146"/>
      <c r="D70" s="51"/>
      <c r="E70" s="48"/>
      <c r="F70" s="203"/>
      <c r="G70" s="59"/>
      <c r="H70" s="48"/>
      <c r="I70" s="48"/>
      <c r="J70" s="203"/>
      <c r="K70" s="59"/>
      <c r="L70" s="48"/>
      <c r="M70" s="48"/>
      <c r="N70" s="203"/>
    </row>
    <row r="71" spans="1:14" s="21" customFormat="1" ht="18" x14ac:dyDescent="0.35">
      <c r="A71" s="75">
        <f>IF(F71&lt;&gt;"",(LARGE(A$7:A70,1)+1),"")</f>
        <v>28</v>
      </c>
      <c r="B71" s="152" t="s">
        <v>271</v>
      </c>
      <c r="C71" s="146">
        <v>4</v>
      </c>
      <c r="D71" s="51" t="s">
        <v>13</v>
      </c>
      <c r="E71" s="48">
        <f t="shared" ref="E71" si="46">G71+H71</f>
        <v>12.8</v>
      </c>
      <c r="F71" s="203">
        <f t="shared" ref="F71" si="47">E71*C71</f>
        <v>51.2</v>
      </c>
      <c r="G71" s="59">
        <v>5</v>
      </c>
      <c r="H71" s="48">
        <v>7.8</v>
      </c>
      <c r="I71" s="48">
        <f>IF(D71=0," ",(G71)*(Details!$C$4+Details!$C$8))</f>
        <v>0.75000000000000011</v>
      </c>
      <c r="J71" s="203">
        <f>IF(D71=0," ",(H71)*(Details!$C$6+Details!$C$8))</f>
        <v>1.1700000000000002</v>
      </c>
      <c r="K71" s="59">
        <f t="shared" ref="K71" si="48">+G71*C71</f>
        <v>20</v>
      </c>
      <c r="L71" s="48">
        <f t="shared" ref="L71" si="49">+H71*C71</f>
        <v>31.2</v>
      </c>
      <c r="M71" s="48">
        <f t="shared" ref="M71" si="50">IF(D71=0," ",(I71*C71))</f>
        <v>3.0000000000000004</v>
      </c>
      <c r="N71" s="203">
        <f t="shared" ref="N71" si="51">IF(D71=0," ",(J71*C71))</f>
        <v>4.6800000000000006</v>
      </c>
    </row>
    <row r="72" spans="1:14" s="21" customFormat="1" ht="18" x14ac:dyDescent="0.35">
      <c r="A72" s="75"/>
      <c r="B72" s="152"/>
      <c r="C72" s="146"/>
      <c r="D72" s="51"/>
      <c r="E72" s="48"/>
      <c r="F72" s="203"/>
      <c r="G72" s="59"/>
      <c r="H72" s="48"/>
      <c r="I72" s="48"/>
      <c r="J72" s="203"/>
      <c r="K72" s="59"/>
      <c r="L72" s="48"/>
      <c r="M72" s="48"/>
      <c r="N72" s="203"/>
    </row>
    <row r="73" spans="1:14" s="21" customFormat="1" ht="18" x14ac:dyDescent="0.35">
      <c r="A73" s="75">
        <f>IF(F73&lt;&gt;"",(LARGE(A$7:A71,1)+1),"")</f>
        <v>29</v>
      </c>
      <c r="B73" s="152" t="s">
        <v>277</v>
      </c>
      <c r="C73" s="146">
        <f>4*0.3</f>
        <v>1.2</v>
      </c>
      <c r="D73" s="51" t="s">
        <v>10</v>
      </c>
      <c r="E73" s="48">
        <f t="shared" ref="E73" si="52">G73+H73</f>
        <v>158.80000000000001</v>
      </c>
      <c r="F73" s="203">
        <f t="shared" ref="F73" si="53">E73*C73</f>
        <v>190.56</v>
      </c>
      <c r="G73" s="59">
        <v>46.8</v>
      </c>
      <c r="H73" s="48">
        <v>112</v>
      </c>
      <c r="I73" s="48">
        <f>IF(D73=0," ",(G73)*(Details!$C$4+Details!$C$8))</f>
        <v>7.0200000000000005</v>
      </c>
      <c r="J73" s="203">
        <f>IF(D73=0," ",(H73)*(Details!$C$6+Details!$C$8))</f>
        <v>16.800000000000004</v>
      </c>
      <c r="K73" s="59">
        <f t="shared" ref="K73" si="54">+G73*C73</f>
        <v>56.16</v>
      </c>
      <c r="L73" s="48">
        <f t="shared" ref="L73" si="55">+H73*C73</f>
        <v>134.4</v>
      </c>
      <c r="M73" s="48">
        <f t="shared" ref="M73" si="56">IF(D73=0," ",(I73*C73))</f>
        <v>8.4239999999999995</v>
      </c>
      <c r="N73" s="203">
        <f t="shared" ref="N73" si="57">IF(D73=0," ",(J73*C73))</f>
        <v>20.160000000000004</v>
      </c>
    </row>
    <row r="74" spans="1:14" s="21" customFormat="1" ht="18" x14ac:dyDescent="0.35">
      <c r="A74" s="75" t="str">
        <f>IF(F74&lt;&gt;"",(LARGE(A$7:A73,1)+1),"")</f>
        <v/>
      </c>
      <c r="B74" s="152"/>
      <c r="C74" s="146"/>
      <c r="D74" s="51"/>
      <c r="E74" s="48"/>
      <c r="F74" s="203"/>
      <c r="G74" s="59"/>
      <c r="H74" s="48"/>
      <c r="I74" s="48"/>
      <c r="J74" s="203"/>
      <c r="K74" s="59"/>
      <c r="L74" s="48"/>
      <c r="M74" s="48"/>
      <c r="N74" s="203"/>
    </row>
    <row r="75" spans="1:14" s="21" customFormat="1" ht="18" x14ac:dyDescent="0.35">
      <c r="A75" s="75" t="str">
        <f>IF(F75&lt;&gt;"",(LARGE(A$7:A74,1)+1),"")</f>
        <v/>
      </c>
      <c r="B75" s="152" t="s">
        <v>279</v>
      </c>
      <c r="C75" s="146"/>
      <c r="D75" s="51"/>
      <c r="E75" s="48"/>
      <c r="F75" s="203"/>
      <c r="G75" s="59"/>
      <c r="H75" s="48"/>
      <c r="I75" s="48"/>
      <c r="J75" s="203"/>
      <c r="K75" s="59"/>
      <c r="L75" s="48"/>
      <c r="M75" s="48"/>
      <c r="N75" s="203"/>
    </row>
    <row r="76" spans="1:14" s="21" customFormat="1" ht="18" x14ac:dyDescent="0.35">
      <c r="A76" s="75">
        <f>IF(F76&lt;&gt;"",(LARGE(A$7:A75,1)+1),"")</f>
        <v>30</v>
      </c>
      <c r="B76" s="152" t="s">
        <v>271</v>
      </c>
      <c r="C76" s="146">
        <v>8</v>
      </c>
      <c r="D76" s="51" t="s">
        <v>13</v>
      </c>
      <c r="E76" s="48">
        <f t="shared" ref="E76" si="58">G76+H76</f>
        <v>15.8</v>
      </c>
      <c r="F76" s="203">
        <f t="shared" ref="F76:F78" si="59">E76*C76</f>
        <v>126.4</v>
      </c>
      <c r="G76" s="59">
        <v>8</v>
      </c>
      <c r="H76" s="48">
        <v>7.8</v>
      </c>
      <c r="I76" s="48">
        <f>IF(D76=0," ",(G76)*(Details!$C$4+Details!$C$8))</f>
        <v>1.2000000000000002</v>
      </c>
      <c r="J76" s="203">
        <f>IF(D76=0," ",(H76)*(Details!$C$6+Details!$C$8))</f>
        <v>1.1700000000000002</v>
      </c>
      <c r="K76" s="59">
        <f t="shared" ref="K76:K78" si="60">+G76*C76</f>
        <v>64</v>
      </c>
      <c r="L76" s="48">
        <f t="shared" ref="L76:L78" si="61">+H76*C76</f>
        <v>62.4</v>
      </c>
      <c r="M76" s="48">
        <f t="shared" ref="M76:M78" si="62">IF(D76=0," ",(I76*C76))</f>
        <v>9.6000000000000014</v>
      </c>
      <c r="N76" s="203">
        <f t="shared" ref="N76:N78" si="63">IF(D76=0," ",(J76*C76))</f>
        <v>9.3600000000000012</v>
      </c>
    </row>
    <row r="77" spans="1:14" s="21" customFormat="1" ht="18" x14ac:dyDescent="0.35">
      <c r="A77" s="75"/>
      <c r="B77" s="152"/>
      <c r="C77" s="146"/>
      <c r="D77" s="51"/>
      <c r="E77" s="48"/>
      <c r="F77" s="203"/>
      <c r="G77" s="59"/>
      <c r="H77" s="48"/>
      <c r="I77" s="48"/>
      <c r="J77" s="203"/>
      <c r="K77" s="59"/>
      <c r="L77" s="48"/>
      <c r="M77" s="48"/>
      <c r="N77" s="203"/>
    </row>
    <row r="78" spans="1:14" s="21" customFormat="1" ht="18" x14ac:dyDescent="0.35">
      <c r="A78" s="75">
        <f>IF(F78&lt;&gt;"",(LARGE(A$7:A76,1)+1),"")</f>
        <v>31</v>
      </c>
      <c r="B78" s="152" t="s">
        <v>272</v>
      </c>
      <c r="C78" s="146">
        <f>8*0.775</f>
        <v>6.2</v>
      </c>
      <c r="D78" s="51" t="s">
        <v>10</v>
      </c>
      <c r="E78" s="48">
        <f t="shared" ref="E78" si="64">G78+H78</f>
        <v>102.3</v>
      </c>
      <c r="F78" s="203">
        <f t="shared" si="59"/>
        <v>634.26</v>
      </c>
      <c r="G78" s="59">
        <v>34.5</v>
      </c>
      <c r="H78" s="48">
        <v>67.8</v>
      </c>
      <c r="I78" s="48">
        <f>IF(D78=0," ",(G78)*(Details!$C$4+Details!$C$8))</f>
        <v>5.1750000000000007</v>
      </c>
      <c r="J78" s="203">
        <f>IF(D78=0," ",(H78)*(Details!$C$6+Details!$C$8))</f>
        <v>10.170000000000002</v>
      </c>
      <c r="K78" s="59">
        <f t="shared" si="60"/>
        <v>213.9</v>
      </c>
      <c r="L78" s="48">
        <f t="shared" si="61"/>
        <v>420.36</v>
      </c>
      <c r="M78" s="48">
        <f t="shared" si="62"/>
        <v>32.085000000000008</v>
      </c>
      <c r="N78" s="203">
        <f t="shared" si="63"/>
        <v>63.054000000000009</v>
      </c>
    </row>
    <row r="79" spans="1:14" s="21" customFormat="1" ht="18" x14ac:dyDescent="0.35">
      <c r="A79" s="75" t="str">
        <f>IF(F79&lt;&gt;"",(LARGE(A$7:A78,1)+1),"")</f>
        <v/>
      </c>
      <c r="B79" s="152"/>
      <c r="C79" s="146"/>
      <c r="D79" s="51"/>
      <c r="E79" s="48"/>
      <c r="F79" s="203"/>
      <c r="G79" s="59"/>
      <c r="H79" s="48"/>
      <c r="I79" s="48"/>
      <c r="J79" s="203"/>
      <c r="K79" s="59"/>
      <c r="L79" s="48"/>
      <c r="M79" s="48"/>
      <c r="N79" s="203"/>
    </row>
    <row r="80" spans="1:14" s="21" customFormat="1" ht="18" x14ac:dyDescent="0.35">
      <c r="A80" s="75" t="str">
        <f>IF(F80&lt;&gt;"",(LARGE(A$7:A79,1)+1),"")</f>
        <v/>
      </c>
      <c r="B80" s="161" t="s">
        <v>291</v>
      </c>
      <c r="C80" s="146"/>
      <c r="D80" s="51"/>
      <c r="E80" s="48"/>
      <c r="F80" s="203"/>
      <c r="G80" s="59"/>
      <c r="H80" s="48"/>
      <c r="I80" s="48"/>
      <c r="J80" s="203"/>
      <c r="K80" s="59"/>
      <c r="L80" s="48"/>
      <c r="M80" s="48"/>
      <c r="N80" s="203"/>
    </row>
    <row r="81" spans="1:14" s="21" customFormat="1" ht="18" x14ac:dyDescent="0.35">
      <c r="A81" s="75" t="str">
        <f>IF(F81&lt;&gt;"",(LARGE(A$7:A80,1)+1),"")</f>
        <v/>
      </c>
      <c r="B81" s="152" t="s">
        <v>280</v>
      </c>
      <c r="C81" s="146"/>
      <c r="D81" s="51"/>
      <c r="E81" s="48"/>
      <c r="F81" s="203"/>
      <c r="G81" s="59"/>
      <c r="H81" s="48"/>
      <c r="I81" s="48"/>
      <c r="J81" s="203"/>
      <c r="K81" s="59"/>
      <c r="L81" s="48"/>
      <c r="M81" s="48"/>
      <c r="N81" s="203"/>
    </row>
    <row r="82" spans="1:14" s="21" customFormat="1" ht="18" x14ac:dyDescent="0.35">
      <c r="A82" s="75"/>
      <c r="B82" s="152"/>
      <c r="C82" s="146"/>
      <c r="D82" s="51"/>
      <c r="E82" s="48"/>
      <c r="F82" s="203"/>
      <c r="G82" s="59"/>
      <c r="H82" s="48"/>
      <c r="I82" s="48"/>
      <c r="J82" s="203"/>
      <c r="K82" s="59"/>
      <c r="L82" s="48"/>
      <c r="M82" s="48"/>
      <c r="N82" s="203"/>
    </row>
    <row r="83" spans="1:14" s="21" customFormat="1" ht="18" x14ac:dyDescent="0.35">
      <c r="A83" s="75">
        <f>IF(F83&lt;&gt;"",(LARGE(A$7:A81,1)+1),"")</f>
        <v>32</v>
      </c>
      <c r="B83" s="152" t="s">
        <v>281</v>
      </c>
      <c r="C83" s="146">
        <v>46</v>
      </c>
      <c r="D83" s="51" t="s">
        <v>10</v>
      </c>
      <c r="E83" s="48">
        <f t="shared" ref="E83:E91" si="65">G83+H83</f>
        <v>93.3</v>
      </c>
      <c r="F83" s="203">
        <f t="shared" ref="F83:F91" si="66">E83*C83</f>
        <v>4291.8</v>
      </c>
      <c r="G83" s="59">
        <v>34.5</v>
      </c>
      <c r="H83" s="48">
        <v>58.8</v>
      </c>
      <c r="I83" s="48">
        <f>IF(D83=0," ",(G83)*(Details!$C$4+Details!$C$8))</f>
        <v>5.1750000000000007</v>
      </c>
      <c r="J83" s="203">
        <f>IF(D83=0," ",(H83)*(Details!$C$6+Details!$C$8))</f>
        <v>8.82</v>
      </c>
      <c r="K83" s="59">
        <f t="shared" ref="K83:K91" si="67">+G83*C83</f>
        <v>1587</v>
      </c>
      <c r="L83" s="48">
        <f t="shared" ref="L83:L91" si="68">+H83*C83</f>
        <v>2704.7999999999997</v>
      </c>
      <c r="M83" s="48">
        <f t="shared" ref="M83:M91" si="69">IF(D83=0," ",(I83*C83))</f>
        <v>238.05000000000004</v>
      </c>
      <c r="N83" s="203">
        <f t="shared" ref="N83:N91" si="70">IF(D83=0," ",(J83*C83))</f>
        <v>405.72</v>
      </c>
    </row>
    <row r="84" spans="1:14" s="21" customFormat="1" ht="18" x14ac:dyDescent="0.35">
      <c r="A84" s="75"/>
      <c r="B84" s="152"/>
      <c r="C84" s="146"/>
      <c r="D84" s="51"/>
      <c r="E84" s="48"/>
      <c r="F84" s="203"/>
      <c r="G84" s="59"/>
      <c r="H84" s="48"/>
      <c r="I84" s="48"/>
      <c r="J84" s="203"/>
      <c r="K84" s="59"/>
      <c r="L84" s="48"/>
      <c r="M84" s="48"/>
      <c r="N84" s="203"/>
    </row>
    <row r="85" spans="1:14" s="21" customFormat="1" ht="18" x14ac:dyDescent="0.35">
      <c r="A85" s="75">
        <f>IF(F85&lt;&gt;"",(LARGE(A$7:A83,1)+1),"")</f>
        <v>33</v>
      </c>
      <c r="B85" s="152" t="s">
        <v>282</v>
      </c>
      <c r="C85" s="146">
        <v>46</v>
      </c>
      <c r="D85" s="51" t="s">
        <v>10</v>
      </c>
      <c r="E85" s="48">
        <f t="shared" si="65"/>
        <v>25.200000000000003</v>
      </c>
      <c r="F85" s="203">
        <f t="shared" si="66"/>
        <v>1159.2</v>
      </c>
      <c r="G85" s="59">
        <v>9.8000000000000007</v>
      </c>
      <c r="H85" s="48">
        <v>15.4</v>
      </c>
      <c r="I85" s="48">
        <f>IF(D85=0," ",(G85)*(Details!$C$4+Details!$C$8))</f>
        <v>1.4700000000000004</v>
      </c>
      <c r="J85" s="203">
        <f>IF(D85=0," ",(H85)*(Details!$C$6+Details!$C$8))</f>
        <v>2.3100000000000005</v>
      </c>
      <c r="K85" s="59">
        <f t="shared" si="67"/>
        <v>450.8</v>
      </c>
      <c r="L85" s="48">
        <f t="shared" si="68"/>
        <v>708.4</v>
      </c>
      <c r="M85" s="48">
        <f t="shared" si="69"/>
        <v>67.620000000000019</v>
      </c>
      <c r="N85" s="203">
        <f t="shared" si="70"/>
        <v>106.26000000000002</v>
      </c>
    </row>
    <row r="86" spans="1:14" s="21" customFormat="1" ht="18" x14ac:dyDescent="0.35">
      <c r="A86" s="75"/>
      <c r="B86" s="152"/>
      <c r="C86" s="146"/>
      <c r="D86" s="51"/>
      <c r="E86" s="48"/>
      <c r="F86" s="203"/>
      <c r="G86" s="59"/>
      <c r="H86" s="48"/>
      <c r="I86" s="48"/>
      <c r="J86" s="203"/>
      <c r="K86" s="59"/>
      <c r="L86" s="48"/>
      <c r="M86" s="48"/>
      <c r="N86" s="203"/>
    </row>
    <row r="87" spans="1:14" s="21" customFormat="1" ht="18" x14ac:dyDescent="0.35">
      <c r="A87" s="75">
        <f>IF(F87&lt;&gt;"",(LARGE(A$7:A85,1)+1),"")</f>
        <v>34</v>
      </c>
      <c r="B87" s="152" t="s">
        <v>283</v>
      </c>
      <c r="C87" s="146">
        <v>46</v>
      </c>
      <c r="D87" s="51" t="s">
        <v>10</v>
      </c>
      <c r="E87" s="48">
        <f t="shared" si="65"/>
        <v>12.8</v>
      </c>
      <c r="F87" s="203">
        <f t="shared" si="66"/>
        <v>588.80000000000007</v>
      </c>
      <c r="G87" s="59">
        <v>5</v>
      </c>
      <c r="H87" s="48">
        <v>7.8</v>
      </c>
      <c r="I87" s="48">
        <f>IF(D87=0," ",(G87)*(Details!$C$4+Details!$C$8))</f>
        <v>0.75000000000000011</v>
      </c>
      <c r="J87" s="203">
        <f>IF(D87=0," ",(H87)*(Details!$C$6+Details!$C$8))</f>
        <v>1.1700000000000002</v>
      </c>
      <c r="K87" s="59">
        <f t="shared" si="67"/>
        <v>230</v>
      </c>
      <c r="L87" s="48">
        <f t="shared" si="68"/>
        <v>358.8</v>
      </c>
      <c r="M87" s="48">
        <f t="shared" si="69"/>
        <v>34.500000000000007</v>
      </c>
      <c r="N87" s="203">
        <f t="shared" si="70"/>
        <v>53.820000000000007</v>
      </c>
    </row>
    <row r="88" spans="1:14" s="21" customFormat="1" ht="18" x14ac:dyDescent="0.35">
      <c r="A88" s="75"/>
      <c r="B88" s="152"/>
      <c r="C88" s="146"/>
      <c r="D88" s="51"/>
      <c r="E88" s="48"/>
      <c r="F88" s="203"/>
      <c r="G88" s="59"/>
      <c r="H88" s="48"/>
      <c r="I88" s="48"/>
      <c r="J88" s="203"/>
      <c r="K88" s="59"/>
      <c r="L88" s="48"/>
      <c r="M88" s="48"/>
      <c r="N88" s="203"/>
    </row>
    <row r="89" spans="1:14" s="21" customFormat="1" ht="18" x14ac:dyDescent="0.35">
      <c r="A89" s="75">
        <f>IF(F89&lt;&gt;"",(LARGE(A$7:A87,1)+1),"")</f>
        <v>35</v>
      </c>
      <c r="B89" s="152" t="s">
        <v>284</v>
      </c>
      <c r="C89" s="146">
        <v>46</v>
      </c>
      <c r="D89" s="51" t="s">
        <v>10</v>
      </c>
      <c r="E89" s="48">
        <f t="shared" si="65"/>
        <v>19.399999999999999</v>
      </c>
      <c r="F89" s="203">
        <f t="shared" si="66"/>
        <v>892.4</v>
      </c>
      <c r="G89" s="59">
        <v>8</v>
      </c>
      <c r="H89" s="48">
        <v>11.4</v>
      </c>
      <c r="I89" s="48">
        <f>IF(D89=0," ",(G89)*(Details!$C$4+Details!$C$8))</f>
        <v>1.2000000000000002</v>
      </c>
      <c r="J89" s="203">
        <f>IF(D89=0," ",(H89)*(Details!$C$6+Details!$C$8))</f>
        <v>1.7100000000000004</v>
      </c>
      <c r="K89" s="59">
        <f t="shared" si="67"/>
        <v>368</v>
      </c>
      <c r="L89" s="48">
        <f t="shared" si="68"/>
        <v>524.4</v>
      </c>
      <c r="M89" s="48">
        <f t="shared" si="69"/>
        <v>55.20000000000001</v>
      </c>
      <c r="N89" s="203">
        <f t="shared" si="70"/>
        <v>78.660000000000025</v>
      </c>
    </row>
    <row r="90" spans="1:14" s="21" customFormat="1" ht="18" x14ac:dyDescent="0.35">
      <c r="A90" s="75"/>
      <c r="B90" s="152"/>
      <c r="C90" s="146"/>
      <c r="D90" s="51"/>
      <c r="E90" s="48"/>
      <c r="F90" s="203"/>
      <c r="G90" s="59"/>
      <c r="H90" s="48"/>
      <c r="I90" s="48"/>
      <c r="J90" s="203"/>
      <c r="K90" s="59"/>
      <c r="L90" s="48"/>
      <c r="M90" s="48"/>
      <c r="N90" s="203"/>
    </row>
    <row r="91" spans="1:14" s="21" customFormat="1" ht="18" x14ac:dyDescent="0.35">
      <c r="A91" s="75">
        <f>IF(F91&lt;&gt;"",(LARGE(A$7:A89,1)+1),"")</f>
        <v>36</v>
      </c>
      <c r="B91" s="152" t="s">
        <v>285</v>
      </c>
      <c r="C91" s="146">
        <v>46</v>
      </c>
      <c r="D91" s="51" t="s">
        <v>10</v>
      </c>
      <c r="E91" s="48">
        <f t="shared" si="65"/>
        <v>12.8</v>
      </c>
      <c r="F91" s="203">
        <f t="shared" si="66"/>
        <v>588.80000000000007</v>
      </c>
      <c r="G91" s="59">
        <v>5</v>
      </c>
      <c r="H91" s="48">
        <v>7.8</v>
      </c>
      <c r="I91" s="48">
        <f>IF(D91=0," ",(G91)*(Details!$C$4+Details!$C$8))</f>
        <v>0.75000000000000011</v>
      </c>
      <c r="J91" s="203">
        <f>IF(D91=0," ",(H91)*(Details!$C$6+Details!$C$8))</f>
        <v>1.1700000000000002</v>
      </c>
      <c r="K91" s="59">
        <f t="shared" si="67"/>
        <v>230</v>
      </c>
      <c r="L91" s="48">
        <f t="shared" si="68"/>
        <v>358.8</v>
      </c>
      <c r="M91" s="48">
        <f t="shared" si="69"/>
        <v>34.500000000000007</v>
      </c>
      <c r="N91" s="203">
        <f t="shared" si="70"/>
        <v>53.820000000000007</v>
      </c>
    </row>
    <row r="92" spans="1:14" s="21" customFormat="1" ht="18" x14ac:dyDescent="0.35">
      <c r="A92" s="75" t="str">
        <f>IF(F92&lt;&gt;"",(LARGE(A$7:A91,1)+1),"")</f>
        <v/>
      </c>
      <c r="B92" s="152"/>
      <c r="C92" s="146"/>
      <c r="D92" s="51"/>
      <c r="E92" s="48"/>
      <c r="F92" s="203"/>
      <c r="G92" s="59"/>
      <c r="H92" s="48"/>
      <c r="I92" s="48"/>
      <c r="J92" s="203"/>
      <c r="K92" s="59"/>
      <c r="L92" s="48"/>
      <c r="M92" s="48"/>
      <c r="N92" s="203"/>
    </row>
    <row r="93" spans="1:14" s="21" customFormat="1" ht="18" x14ac:dyDescent="0.35">
      <c r="A93" s="75" t="str">
        <f>IF(F93&lt;&gt;"",(LARGE(A$7:A92,1)+1),"")</f>
        <v/>
      </c>
      <c r="B93" s="152" t="s">
        <v>286</v>
      </c>
      <c r="C93" s="146"/>
      <c r="D93" s="51"/>
      <c r="E93" s="48"/>
      <c r="F93" s="203"/>
      <c r="G93" s="59"/>
      <c r="H93" s="48"/>
      <c r="I93" s="48"/>
      <c r="J93" s="203"/>
      <c r="K93" s="59"/>
      <c r="L93" s="48"/>
      <c r="M93" s="48"/>
      <c r="N93" s="203"/>
    </row>
    <row r="94" spans="1:14" s="21" customFormat="1" ht="18" x14ac:dyDescent="0.35">
      <c r="A94" s="75"/>
      <c r="B94" s="152"/>
      <c r="C94" s="146"/>
      <c r="D94" s="51"/>
      <c r="E94" s="48"/>
      <c r="F94" s="203"/>
      <c r="G94" s="59"/>
      <c r="H94" s="48"/>
      <c r="I94" s="48"/>
      <c r="J94" s="203"/>
      <c r="K94" s="59"/>
      <c r="L94" s="48"/>
      <c r="M94" s="48"/>
      <c r="N94" s="203"/>
    </row>
    <row r="95" spans="1:14" s="21" customFormat="1" ht="18" x14ac:dyDescent="0.35">
      <c r="A95" s="75">
        <f>IF(F95&lt;&gt;"",(LARGE(A$7:A93,1)+1),"")</f>
        <v>37</v>
      </c>
      <c r="B95" s="152" t="s">
        <v>282</v>
      </c>
      <c r="C95" s="146">
        <v>15</v>
      </c>
      <c r="D95" s="51" t="s">
        <v>10</v>
      </c>
      <c r="E95" s="48">
        <f t="shared" ref="E95:E101" si="71">G95+H95</f>
        <v>25.200000000000003</v>
      </c>
      <c r="F95" s="203">
        <f t="shared" ref="F95:F101" si="72">E95*C95</f>
        <v>378.00000000000006</v>
      </c>
      <c r="G95" s="59">
        <v>9.8000000000000007</v>
      </c>
      <c r="H95" s="48">
        <v>15.4</v>
      </c>
      <c r="I95" s="48">
        <f>IF(D95=0," ",(G95)*(Details!$C$4+Details!$C$8))</f>
        <v>1.4700000000000004</v>
      </c>
      <c r="J95" s="203">
        <f>IF(D95=0," ",(H95)*(Details!$C$6+Details!$C$8))</f>
        <v>2.3100000000000005</v>
      </c>
      <c r="K95" s="59">
        <f t="shared" ref="K95:K101" si="73">+G95*C95</f>
        <v>147</v>
      </c>
      <c r="L95" s="48">
        <f t="shared" ref="L95:L101" si="74">+H95*C95</f>
        <v>231</v>
      </c>
      <c r="M95" s="48">
        <f t="shared" ref="M95:M101" si="75">IF(D95=0," ",(I95*C95))</f>
        <v>22.050000000000008</v>
      </c>
      <c r="N95" s="203">
        <f t="shared" ref="N95:N101" si="76">IF(D95=0," ",(J95*C95))</f>
        <v>34.650000000000006</v>
      </c>
    </row>
    <row r="96" spans="1:14" s="21" customFormat="1" ht="18" x14ac:dyDescent="0.35">
      <c r="A96" s="75"/>
      <c r="B96" s="152"/>
      <c r="C96" s="146"/>
      <c r="D96" s="51"/>
      <c r="E96" s="48"/>
      <c r="F96" s="203"/>
      <c r="G96" s="59"/>
      <c r="H96" s="48"/>
      <c r="I96" s="48"/>
      <c r="J96" s="203"/>
      <c r="K96" s="59"/>
      <c r="L96" s="48"/>
      <c r="M96" s="48"/>
      <c r="N96" s="203"/>
    </row>
    <row r="97" spans="1:17" s="21" customFormat="1" ht="18" x14ac:dyDescent="0.35">
      <c r="A97" s="75">
        <f>IF(F97&lt;&gt;"",(LARGE(A$7:A95,1)+1),"")</f>
        <v>38</v>
      </c>
      <c r="B97" s="152" t="s">
        <v>283</v>
      </c>
      <c r="C97" s="146">
        <v>15</v>
      </c>
      <c r="D97" s="51" t="s">
        <v>10</v>
      </c>
      <c r="E97" s="48">
        <f t="shared" si="71"/>
        <v>12.8</v>
      </c>
      <c r="F97" s="203">
        <f t="shared" si="72"/>
        <v>192</v>
      </c>
      <c r="G97" s="59">
        <v>5</v>
      </c>
      <c r="H97" s="48">
        <v>7.8</v>
      </c>
      <c r="I97" s="48">
        <f>IF(D97=0," ",(G97)*(Details!$C$4+Details!$C$8))</f>
        <v>0.75000000000000011</v>
      </c>
      <c r="J97" s="203">
        <f>IF(D97=0," ",(H97)*(Details!$C$6+Details!$C$8))</f>
        <v>1.1700000000000002</v>
      </c>
      <c r="K97" s="59">
        <f t="shared" si="73"/>
        <v>75</v>
      </c>
      <c r="L97" s="48">
        <f t="shared" si="74"/>
        <v>117</v>
      </c>
      <c r="M97" s="48">
        <f t="shared" si="75"/>
        <v>11.250000000000002</v>
      </c>
      <c r="N97" s="203">
        <f t="shared" si="76"/>
        <v>17.55</v>
      </c>
    </row>
    <row r="98" spans="1:17" s="21" customFormat="1" ht="18" x14ac:dyDescent="0.35">
      <c r="A98" s="75"/>
      <c r="B98" s="152"/>
      <c r="C98" s="146"/>
      <c r="D98" s="51"/>
      <c r="E98" s="48"/>
      <c r="F98" s="203"/>
      <c r="G98" s="59"/>
      <c r="H98" s="48"/>
      <c r="I98" s="48"/>
      <c r="J98" s="203"/>
      <c r="K98" s="59"/>
      <c r="L98" s="48"/>
      <c r="M98" s="48"/>
      <c r="N98" s="203"/>
    </row>
    <row r="99" spans="1:17" s="21" customFormat="1" ht="18" x14ac:dyDescent="0.35">
      <c r="A99" s="75">
        <f>IF(F99&lt;&gt;"",(LARGE(A$7:A97,1)+1),"")</f>
        <v>39</v>
      </c>
      <c r="B99" s="152" t="s">
        <v>287</v>
      </c>
      <c r="C99" s="146">
        <v>15</v>
      </c>
      <c r="D99" s="51" t="s">
        <v>10</v>
      </c>
      <c r="E99" s="48">
        <f t="shared" si="71"/>
        <v>17.7</v>
      </c>
      <c r="F99" s="203">
        <f t="shared" si="72"/>
        <v>265.5</v>
      </c>
      <c r="G99" s="59">
        <v>7.5</v>
      </c>
      <c r="H99" s="48">
        <v>10.199999999999999</v>
      </c>
      <c r="I99" s="48">
        <f>IF(D99=0," ",(G99)*(Details!$C$4+Details!$C$8))</f>
        <v>1.1250000000000002</v>
      </c>
      <c r="J99" s="203">
        <f>IF(D99=0," ",(H99)*(Details!$C$6+Details!$C$8))</f>
        <v>1.53</v>
      </c>
      <c r="K99" s="59">
        <f t="shared" si="73"/>
        <v>112.5</v>
      </c>
      <c r="L99" s="48">
        <f t="shared" si="74"/>
        <v>153</v>
      </c>
      <c r="M99" s="48">
        <f t="shared" si="75"/>
        <v>16.875000000000004</v>
      </c>
      <c r="N99" s="203">
        <f t="shared" si="76"/>
        <v>22.95</v>
      </c>
    </row>
    <row r="100" spans="1:17" s="21" customFormat="1" ht="18" x14ac:dyDescent="0.35">
      <c r="A100" s="75"/>
      <c r="B100" s="152"/>
      <c r="C100" s="146"/>
      <c r="D100" s="51"/>
      <c r="E100" s="48"/>
      <c r="F100" s="203"/>
      <c r="G100" s="59"/>
      <c r="H100" s="48"/>
      <c r="I100" s="48"/>
      <c r="J100" s="203"/>
      <c r="K100" s="59"/>
      <c r="L100" s="48"/>
      <c r="M100" s="48"/>
      <c r="N100" s="203"/>
    </row>
    <row r="101" spans="1:17" s="21" customFormat="1" ht="18" x14ac:dyDescent="0.35">
      <c r="A101" s="75">
        <f>IF(F101&lt;&gt;"",(LARGE(A$7:A99,1)+1),"")</f>
        <v>40</v>
      </c>
      <c r="B101" s="152" t="s">
        <v>285</v>
      </c>
      <c r="C101" s="146">
        <v>15</v>
      </c>
      <c r="D101" s="51" t="s">
        <v>10</v>
      </c>
      <c r="E101" s="48">
        <f t="shared" si="71"/>
        <v>12.8</v>
      </c>
      <c r="F101" s="203">
        <f t="shared" si="72"/>
        <v>192</v>
      </c>
      <c r="G101" s="59">
        <v>5</v>
      </c>
      <c r="H101" s="48">
        <v>7.8</v>
      </c>
      <c r="I101" s="48">
        <f>IF(D101=0," ",(G101)*(Details!$C$4+Details!$C$8))</f>
        <v>0.75000000000000011</v>
      </c>
      <c r="J101" s="203">
        <f>IF(D101=0," ",(H101)*(Details!$C$6+Details!$C$8))</f>
        <v>1.1700000000000002</v>
      </c>
      <c r="K101" s="59">
        <f t="shared" si="73"/>
        <v>75</v>
      </c>
      <c r="L101" s="48">
        <f t="shared" si="74"/>
        <v>117</v>
      </c>
      <c r="M101" s="48">
        <f t="shared" si="75"/>
        <v>11.250000000000002</v>
      </c>
      <c r="N101" s="203">
        <f t="shared" si="76"/>
        <v>17.55</v>
      </c>
    </row>
    <row r="102" spans="1:17" s="21" customFormat="1" ht="18" x14ac:dyDescent="0.35">
      <c r="A102" s="75" t="str">
        <f>IF(F102&lt;&gt;"",(LARGE(A$7:A101,1)+1),"")</f>
        <v/>
      </c>
      <c r="B102" s="152"/>
      <c r="C102" s="146"/>
      <c r="D102" s="51"/>
      <c r="E102" s="48"/>
      <c r="F102" s="203"/>
      <c r="G102" s="59"/>
      <c r="H102" s="48"/>
      <c r="I102" s="48"/>
      <c r="J102" s="203"/>
      <c r="K102" s="59"/>
      <c r="L102" s="48"/>
      <c r="M102" s="48"/>
      <c r="N102" s="203"/>
    </row>
    <row r="103" spans="1:17" s="21" customFormat="1" ht="18" x14ac:dyDescent="0.35">
      <c r="A103" s="75" t="str">
        <f>IF(F103&lt;&gt;"",(LARGE(A$7:A102,1)+1),"")</f>
        <v/>
      </c>
      <c r="B103" s="161" t="s">
        <v>292</v>
      </c>
      <c r="C103" s="146"/>
      <c r="D103" s="51"/>
      <c r="E103" s="48"/>
      <c r="F103" s="203"/>
      <c r="G103" s="59"/>
      <c r="H103" s="48"/>
      <c r="I103" s="48"/>
      <c r="J103" s="203"/>
      <c r="K103" s="59"/>
      <c r="L103" s="48"/>
      <c r="M103" s="48"/>
      <c r="N103" s="203"/>
    </row>
    <row r="104" spans="1:17" s="21" customFormat="1" ht="18" x14ac:dyDescent="0.35">
      <c r="A104" s="75">
        <f>IF(F104&lt;&gt;"",(LARGE(A$7:A103,1)+1),"")</f>
        <v>41</v>
      </c>
      <c r="B104" s="152" t="s">
        <v>288</v>
      </c>
      <c r="C104" s="146">
        <v>2.2999999999999998</v>
      </c>
      <c r="D104" s="51" t="s">
        <v>13</v>
      </c>
      <c r="E104" s="48">
        <f t="shared" ref="E104" si="77">G104+H104</f>
        <v>33.200000000000003</v>
      </c>
      <c r="F104" s="203">
        <f t="shared" ref="F104" si="78">E104*C104</f>
        <v>76.36</v>
      </c>
      <c r="G104" s="59">
        <v>13.4</v>
      </c>
      <c r="H104" s="48">
        <v>19.8</v>
      </c>
      <c r="I104" s="48">
        <f>IF(D104=0," ",(G104)*(Details!$C$4+Details!$C$8))</f>
        <v>2.0100000000000002</v>
      </c>
      <c r="J104" s="203">
        <f>IF(D104=0," ",(H104)*(Details!$C$6+Details!$C$8))</f>
        <v>2.9700000000000006</v>
      </c>
      <c r="K104" s="59">
        <f t="shared" ref="K104" si="79">+G104*C104</f>
        <v>30.819999999999997</v>
      </c>
      <c r="L104" s="48">
        <f t="shared" ref="L104" si="80">+H104*C104</f>
        <v>45.54</v>
      </c>
      <c r="M104" s="48">
        <f t="shared" ref="M104" si="81">IF(D104=0," ",(I104*C104))</f>
        <v>4.6230000000000002</v>
      </c>
      <c r="N104" s="203">
        <f t="shared" ref="N104" si="82">IF(D104=0," ",(J104*C104))</f>
        <v>6.8310000000000013</v>
      </c>
    </row>
    <row r="105" spans="1:17" s="38" customFormat="1" ht="18" x14ac:dyDescent="0.35">
      <c r="A105" s="75"/>
      <c r="B105" s="153"/>
      <c r="C105" s="146"/>
      <c r="D105" s="51"/>
      <c r="E105" s="48"/>
      <c r="F105" s="203"/>
      <c r="G105" s="59"/>
      <c r="H105" s="48"/>
      <c r="I105" s="48"/>
      <c r="J105" s="203"/>
      <c r="K105" s="48"/>
      <c r="L105" s="48"/>
      <c r="M105" s="48"/>
      <c r="N105" s="203"/>
      <c r="O105" s="269"/>
      <c r="P105" s="51"/>
      <c r="Q105" s="51"/>
    </row>
    <row r="106" spans="1:17" s="38" customFormat="1" ht="18" x14ac:dyDescent="0.35">
      <c r="A106" s="75" t="str">
        <f>IF(F106&lt;&gt;"",(LARGE(A$7:A105,1)+1),"")</f>
        <v/>
      </c>
      <c r="B106" s="153"/>
      <c r="C106" s="146"/>
      <c r="D106" s="51"/>
      <c r="E106" s="48"/>
      <c r="F106" s="203"/>
      <c r="G106" s="48"/>
      <c r="H106" s="48"/>
      <c r="I106" s="48"/>
      <c r="J106" s="203"/>
      <c r="K106" s="59"/>
      <c r="L106" s="48"/>
      <c r="M106" s="48"/>
      <c r="N106" s="203"/>
    </row>
    <row r="107" spans="1:17" s="38" customFormat="1" ht="18" x14ac:dyDescent="0.35">
      <c r="A107" s="75" t="str">
        <f>IF(F107&lt;&gt;"",(LARGE(A$7:A105,1)+1),"")</f>
        <v/>
      </c>
      <c r="B107" s="168" t="s">
        <v>200</v>
      </c>
      <c r="C107" s="154"/>
      <c r="D107" s="51"/>
      <c r="E107" s="48"/>
      <c r="F107" s="203"/>
      <c r="G107" s="48"/>
      <c r="H107" s="48"/>
      <c r="I107" s="48"/>
      <c r="J107" s="203"/>
      <c r="K107" s="59"/>
      <c r="L107" s="48"/>
      <c r="M107" s="48"/>
      <c r="N107" s="203" t="str">
        <f t="shared" si="0"/>
        <v xml:space="preserve"> </v>
      </c>
      <c r="O107" s="269"/>
      <c r="P107" s="51"/>
      <c r="Q107" s="51"/>
    </row>
    <row r="108" spans="1:17" s="38" customFormat="1" ht="18" x14ac:dyDescent="0.35">
      <c r="A108" s="75">
        <f>IF(F108&lt;&gt;"",(LARGE(A$7:A107,1)+1),"")</f>
        <v>42</v>
      </c>
      <c r="B108" s="152" t="s">
        <v>201</v>
      </c>
      <c r="C108" s="146">
        <f>+C112*0.45*1</f>
        <v>1.35</v>
      </c>
      <c r="D108" s="51" t="s">
        <v>46</v>
      </c>
      <c r="E108" s="48">
        <f t="shared" ref="E108:E118" si="83">G108+H108</f>
        <v>55</v>
      </c>
      <c r="F108" s="203">
        <f t="shared" ref="F108" si="84">E108*C108</f>
        <v>74.25</v>
      </c>
      <c r="G108" s="59">
        <v>55</v>
      </c>
      <c r="H108" s="48">
        <v>0</v>
      </c>
      <c r="I108" s="48">
        <f>IF(D108=0," ",(G108)*(Details!$C$4+Details!$C$8))</f>
        <v>8.2500000000000018</v>
      </c>
      <c r="J108" s="203">
        <f>IF(D108=0," ",(H108)*(Details!$C$6+Details!$C$8))</f>
        <v>0</v>
      </c>
      <c r="K108" s="59">
        <f t="shared" ref="K108" si="85">+G108*C108</f>
        <v>74.25</v>
      </c>
      <c r="L108" s="48">
        <f t="shared" ref="L108" si="86">+H108*C108</f>
        <v>0</v>
      </c>
      <c r="M108" s="48">
        <f t="shared" ref="M108" si="87">IF(D108=0," ",(I108*C108))</f>
        <v>11.137500000000003</v>
      </c>
      <c r="N108" s="203">
        <f t="shared" si="0"/>
        <v>0</v>
      </c>
      <c r="O108" s="269"/>
      <c r="P108" s="51"/>
      <c r="Q108" s="51"/>
    </row>
    <row r="109" spans="1:17" s="38" customFormat="1" ht="18" x14ac:dyDescent="0.35">
      <c r="A109" s="75" t="str">
        <f>IF(F109&lt;&gt;"",(LARGE(A$7:A108,1)+1),"")</f>
        <v/>
      </c>
      <c r="B109" s="152"/>
      <c r="C109" s="146"/>
      <c r="D109" s="51"/>
      <c r="E109" s="48"/>
      <c r="F109" s="203"/>
      <c r="G109" s="48"/>
      <c r="H109" s="48"/>
      <c r="I109" s="48"/>
      <c r="J109" s="203"/>
      <c r="K109" s="59"/>
      <c r="L109" s="48"/>
      <c r="M109" s="48"/>
      <c r="N109" s="203" t="str">
        <f t="shared" si="0"/>
        <v xml:space="preserve"> </v>
      </c>
      <c r="O109" s="269"/>
      <c r="P109" s="51"/>
      <c r="Q109" s="51"/>
    </row>
    <row r="110" spans="1:17" s="38" customFormat="1" ht="18" x14ac:dyDescent="0.35">
      <c r="A110" s="75">
        <f>IF(F110&lt;&gt;"",(LARGE(A$7:A109,1)+1),"")</f>
        <v>43</v>
      </c>
      <c r="B110" s="152" t="s">
        <v>47</v>
      </c>
      <c r="C110" s="146">
        <f>C108</f>
        <v>1.35</v>
      </c>
      <c r="D110" s="51" t="s">
        <v>46</v>
      </c>
      <c r="E110" s="48">
        <f t="shared" si="83"/>
        <v>46.5</v>
      </c>
      <c r="F110" s="203">
        <f t="shared" ref="F110" si="88">E110*C110</f>
        <v>62.775000000000006</v>
      </c>
      <c r="G110" s="59">
        <v>46.5</v>
      </c>
      <c r="H110" s="48">
        <v>0</v>
      </c>
      <c r="I110" s="48">
        <f>IF(D110=0," ",(G110)*(Details!$C$4+Details!$C$8))</f>
        <v>6.9750000000000014</v>
      </c>
      <c r="J110" s="203">
        <f>IF(D110=0," ",(H110)*(Details!$C$6+Details!$C$8))</f>
        <v>0</v>
      </c>
      <c r="K110" s="59">
        <f t="shared" ref="K110" si="89">+G110*C110</f>
        <v>62.775000000000006</v>
      </c>
      <c r="L110" s="48">
        <f t="shared" ref="L110" si="90">+H110*C110</f>
        <v>0</v>
      </c>
      <c r="M110" s="48">
        <f t="shared" ref="M110" si="91">IF(D110=0," ",(I110*C110))</f>
        <v>9.4162500000000033</v>
      </c>
      <c r="N110" s="203">
        <f t="shared" si="0"/>
        <v>0</v>
      </c>
      <c r="O110" s="269"/>
      <c r="P110" s="51"/>
      <c r="Q110" s="51"/>
    </row>
    <row r="111" spans="1:17" s="38" customFormat="1" ht="18" x14ac:dyDescent="0.35">
      <c r="A111" s="75" t="str">
        <f>IF(F111&lt;&gt;"",(LARGE(A$7:A110,1)+1),"")</f>
        <v/>
      </c>
      <c r="B111" s="152"/>
      <c r="C111" s="146"/>
      <c r="D111" s="51"/>
      <c r="E111" s="48"/>
      <c r="F111" s="203"/>
      <c r="G111" s="48"/>
      <c r="H111" s="48"/>
      <c r="I111" s="48"/>
      <c r="J111" s="203"/>
      <c r="K111" s="59"/>
      <c r="L111" s="48"/>
      <c r="M111" s="48"/>
      <c r="N111" s="203" t="str">
        <f t="shared" si="0"/>
        <v xml:space="preserve"> </v>
      </c>
      <c r="O111" s="269"/>
      <c r="P111" s="51"/>
      <c r="Q111" s="51"/>
    </row>
    <row r="112" spans="1:17" s="38" customFormat="1" ht="18" x14ac:dyDescent="0.35">
      <c r="A112" s="75">
        <f>IF(F112&lt;&gt;"",(LARGE(A$7:A111,1)+1),"")</f>
        <v>44</v>
      </c>
      <c r="B112" s="38" t="s">
        <v>241</v>
      </c>
      <c r="C112" s="154">
        <v>3</v>
      </c>
      <c r="D112" s="51" t="s">
        <v>13</v>
      </c>
      <c r="E112" s="48">
        <f t="shared" si="83"/>
        <v>26.8</v>
      </c>
      <c r="F112" s="203">
        <f t="shared" ref="F112" si="92">E112*C112</f>
        <v>80.400000000000006</v>
      </c>
      <c r="G112" s="59">
        <v>9</v>
      </c>
      <c r="H112" s="48">
        <v>17.8</v>
      </c>
      <c r="I112" s="48">
        <f>IF(D112=0," ",(G112)*(Details!$C$4+Details!$C$8))</f>
        <v>1.35</v>
      </c>
      <c r="J112" s="203">
        <f>IF(D112=0," ",(H112)*(Details!$C$6+Details!$C$8))</f>
        <v>2.6700000000000004</v>
      </c>
      <c r="K112" s="59">
        <f t="shared" ref="K112" si="93">+G112*C112</f>
        <v>27</v>
      </c>
      <c r="L112" s="48">
        <f t="shared" ref="L112" si="94">+H112*C112</f>
        <v>53.400000000000006</v>
      </c>
      <c r="M112" s="48">
        <f t="shared" ref="M112" si="95">IF(D112=0," ",(I112*C112))</f>
        <v>4.0500000000000007</v>
      </c>
      <c r="N112" s="203">
        <f t="shared" si="0"/>
        <v>8.0100000000000016</v>
      </c>
      <c r="O112" s="269"/>
      <c r="P112" s="51"/>
      <c r="Q112" s="51"/>
    </row>
    <row r="113" spans="1:17" s="38" customFormat="1" ht="18" x14ac:dyDescent="0.35">
      <c r="A113" s="75" t="str">
        <f>IF(F113&lt;&gt;"",(LARGE(A$7:A112,1)+1),"")</f>
        <v/>
      </c>
      <c r="C113" s="154"/>
      <c r="D113" s="51"/>
      <c r="E113" s="48"/>
      <c r="F113" s="203"/>
      <c r="G113" s="48"/>
      <c r="H113" s="48"/>
      <c r="I113" s="48"/>
      <c r="J113" s="203"/>
      <c r="K113" s="59"/>
      <c r="L113" s="48"/>
      <c r="M113" s="48"/>
      <c r="N113" s="203" t="str">
        <f t="shared" si="0"/>
        <v xml:space="preserve"> </v>
      </c>
      <c r="O113" s="269"/>
      <c r="P113" s="51"/>
      <c r="Q113" s="51"/>
    </row>
    <row r="114" spans="1:17" s="38" customFormat="1" ht="18" x14ac:dyDescent="0.35">
      <c r="A114" s="75">
        <f>IF(F114&lt;&gt;"",(LARGE(A$7:A113,1)+1),"")</f>
        <v>45</v>
      </c>
      <c r="B114" s="38" t="s">
        <v>236</v>
      </c>
      <c r="C114" s="154">
        <f>C112</f>
        <v>3</v>
      </c>
      <c r="D114" s="51" t="s">
        <v>13</v>
      </c>
      <c r="E114" s="48">
        <f t="shared" si="83"/>
        <v>49.8</v>
      </c>
      <c r="F114" s="203">
        <f t="shared" ref="F114" si="96">E114*C114</f>
        <v>149.39999999999998</v>
      </c>
      <c r="G114" s="59">
        <v>20</v>
      </c>
      <c r="H114" s="48">
        <v>29.8</v>
      </c>
      <c r="I114" s="48">
        <f>IF(D114=0," ",(G114)*(Details!$C$4+Details!$C$8))</f>
        <v>3.0000000000000004</v>
      </c>
      <c r="J114" s="203">
        <f>IF(D114=0," ",(H114)*(Details!$C$6+Details!$C$8))</f>
        <v>4.4700000000000006</v>
      </c>
      <c r="K114" s="59">
        <f t="shared" ref="K114" si="97">+G114*C114</f>
        <v>60</v>
      </c>
      <c r="L114" s="48">
        <f t="shared" ref="L114" si="98">+H114*C114</f>
        <v>89.4</v>
      </c>
      <c r="M114" s="48">
        <f t="shared" ref="M114" si="99">IF(D114=0," ",(I114*C114))</f>
        <v>9.0000000000000018</v>
      </c>
      <c r="N114" s="203">
        <f t="shared" si="0"/>
        <v>13.410000000000002</v>
      </c>
      <c r="O114" s="269"/>
      <c r="P114" s="51"/>
      <c r="Q114" s="51"/>
    </row>
    <row r="115" spans="1:17" s="38" customFormat="1" ht="18" x14ac:dyDescent="0.35">
      <c r="A115" s="75" t="str">
        <f>IF(F115&lt;&gt;"",(LARGE(A$7:A114,1)+1),"")</f>
        <v/>
      </c>
      <c r="C115" s="154"/>
      <c r="D115" s="51"/>
      <c r="E115" s="48"/>
      <c r="F115" s="203"/>
      <c r="G115" s="48"/>
      <c r="H115" s="48"/>
      <c r="I115" s="48"/>
      <c r="J115" s="203"/>
      <c r="K115" s="59"/>
      <c r="L115" s="48"/>
      <c r="M115" s="48"/>
      <c r="N115" s="203" t="str">
        <f t="shared" si="0"/>
        <v xml:space="preserve"> </v>
      </c>
      <c r="O115" s="269"/>
      <c r="P115" s="51"/>
      <c r="Q115" s="51"/>
    </row>
    <row r="116" spans="1:17" s="38" customFormat="1" ht="18" x14ac:dyDescent="0.35">
      <c r="A116" s="75">
        <f>IF(F116&lt;&gt;"",(LARGE(A$7:A115,1)+1),"")</f>
        <v>46</v>
      </c>
      <c r="B116" s="38" t="s">
        <v>202</v>
      </c>
      <c r="C116" s="154">
        <f>C110</f>
        <v>1.35</v>
      </c>
      <c r="D116" s="51" t="s">
        <v>46</v>
      </c>
      <c r="E116" s="48">
        <f t="shared" si="83"/>
        <v>55</v>
      </c>
      <c r="F116" s="203">
        <f t="shared" ref="F116" si="100">E116*C116</f>
        <v>74.25</v>
      </c>
      <c r="G116" s="59">
        <v>55</v>
      </c>
      <c r="H116" s="48">
        <v>0</v>
      </c>
      <c r="I116" s="48">
        <f>IF(D116=0," ",(G116)*(Details!$C$4+Details!$C$8))</f>
        <v>8.2500000000000018</v>
      </c>
      <c r="J116" s="203">
        <f>IF(D116=0," ",(H116)*(Details!$C$6+Details!$C$8))</f>
        <v>0</v>
      </c>
      <c r="K116" s="59">
        <f t="shared" ref="K116" si="101">+G116*C116</f>
        <v>74.25</v>
      </c>
      <c r="L116" s="48">
        <f t="shared" ref="L116" si="102">+H116*C116</f>
        <v>0</v>
      </c>
      <c r="M116" s="48">
        <f t="shared" ref="M116" si="103">IF(D116=0," ",(I116*C116))</f>
        <v>11.137500000000003</v>
      </c>
      <c r="N116" s="203">
        <f t="shared" si="0"/>
        <v>0</v>
      </c>
      <c r="O116" s="269"/>
      <c r="P116" s="51"/>
      <c r="Q116" s="51"/>
    </row>
    <row r="117" spans="1:17" s="38" customFormat="1" ht="18" x14ac:dyDescent="0.35">
      <c r="A117" s="75" t="str">
        <f>IF(F117&lt;&gt;"",(LARGE(A$7:A116,1)+1),"")</f>
        <v/>
      </c>
      <c r="C117" s="154"/>
      <c r="D117" s="51"/>
      <c r="E117" s="48"/>
      <c r="F117" s="203"/>
      <c r="G117" s="48"/>
      <c r="H117" s="48"/>
      <c r="I117" s="48"/>
      <c r="J117" s="203"/>
      <c r="K117" s="59"/>
      <c r="L117" s="48"/>
      <c r="M117" s="48"/>
      <c r="N117" s="203" t="str">
        <f t="shared" si="0"/>
        <v xml:space="preserve"> </v>
      </c>
      <c r="O117" s="269"/>
      <c r="P117" s="51"/>
      <c r="Q117" s="51"/>
    </row>
    <row r="118" spans="1:17" s="38" customFormat="1" ht="18" x14ac:dyDescent="0.35">
      <c r="A118" s="75">
        <f>IF(F118&lt;&gt;"",(LARGE(A$7:A117,1)+1),"")</f>
        <v>47</v>
      </c>
      <c r="B118" s="38" t="s">
        <v>203</v>
      </c>
      <c r="C118" s="154">
        <v>1</v>
      </c>
      <c r="D118" s="51" t="s">
        <v>11</v>
      </c>
      <c r="E118" s="48">
        <f t="shared" si="83"/>
        <v>350</v>
      </c>
      <c r="F118" s="203">
        <f t="shared" ref="F118" si="104">E118*C118</f>
        <v>350</v>
      </c>
      <c r="G118" s="59">
        <v>350</v>
      </c>
      <c r="H118" s="48">
        <v>0</v>
      </c>
      <c r="I118" s="48">
        <f>IF(D118=0," ",(G118)*(Details!$C$4+Details!$C$8))</f>
        <v>52.500000000000007</v>
      </c>
      <c r="J118" s="203">
        <f>IF(D118=0," ",(H118)*(Details!$C$6+Details!$C$8))</f>
        <v>0</v>
      </c>
      <c r="K118" s="59">
        <f t="shared" ref="K118" si="105">+G118*C118</f>
        <v>350</v>
      </c>
      <c r="L118" s="48">
        <f t="shared" ref="L118" si="106">+H118*C118</f>
        <v>0</v>
      </c>
      <c r="M118" s="48">
        <f t="shared" ref="M118" si="107">IF(D118=0," ",(I118*C118))</f>
        <v>52.500000000000007</v>
      </c>
      <c r="N118" s="203">
        <f t="shared" si="0"/>
        <v>0</v>
      </c>
      <c r="O118" s="269"/>
      <c r="P118" s="51"/>
      <c r="Q118" s="51"/>
    </row>
    <row r="119" spans="1:17" s="38" customFormat="1" ht="18" x14ac:dyDescent="0.35">
      <c r="A119" s="75" t="str">
        <f>IF(F119&lt;&gt;"",(LARGE(A$7:A118,1)+1),"")</f>
        <v/>
      </c>
      <c r="C119" s="154"/>
      <c r="D119" s="51"/>
      <c r="E119" s="48"/>
      <c r="F119" s="203"/>
      <c r="G119" s="48"/>
      <c r="H119" s="48"/>
      <c r="I119" s="48"/>
      <c r="J119" s="203"/>
      <c r="K119" s="59"/>
      <c r="L119" s="48"/>
      <c r="M119" s="48"/>
      <c r="N119" s="203"/>
      <c r="O119" s="269"/>
      <c r="P119" s="51"/>
      <c r="Q119" s="51"/>
    </row>
    <row r="120" spans="1:17" s="38" customFormat="1" ht="18" x14ac:dyDescent="0.35">
      <c r="A120" s="75" t="str">
        <f>IF(F120&lt;&gt;"",(LARGE(A$7:A119,1)+1),"")</f>
        <v/>
      </c>
      <c r="B120" s="168" t="s">
        <v>204</v>
      </c>
      <c r="C120" s="146"/>
      <c r="D120" s="51"/>
      <c r="E120" s="48"/>
      <c r="F120" s="203"/>
      <c r="G120" s="48"/>
      <c r="H120" s="48"/>
      <c r="I120" s="48"/>
      <c r="J120" s="203"/>
      <c r="K120" s="59"/>
      <c r="L120" s="48"/>
      <c r="M120" s="48"/>
      <c r="N120" s="203" t="str">
        <f t="shared" si="0"/>
        <v xml:space="preserve"> </v>
      </c>
      <c r="O120" s="269"/>
      <c r="P120" s="51"/>
      <c r="Q120" s="51"/>
    </row>
    <row r="121" spans="1:17" s="38" customFormat="1" ht="18" x14ac:dyDescent="0.35">
      <c r="A121" s="75">
        <f>IF(F121&lt;&gt;"",(LARGE(A$7:A120,1)+1),"")</f>
        <v>48</v>
      </c>
      <c r="B121" s="153" t="s">
        <v>237</v>
      </c>
      <c r="C121" s="146">
        <v>1</v>
      </c>
      <c r="D121" s="51" t="s">
        <v>11</v>
      </c>
      <c r="E121" s="48">
        <f t="shared" ref="E121:E123" si="108">G121+H121</f>
        <v>300</v>
      </c>
      <c r="F121" s="203">
        <f t="shared" ref="F121" si="109">E121*C121</f>
        <v>300</v>
      </c>
      <c r="G121" s="59">
        <v>300</v>
      </c>
      <c r="H121" s="48">
        <v>0</v>
      </c>
      <c r="I121" s="48">
        <f>IF(D121=0," ",(G121)*(Details!$C$4+Details!$C$8))</f>
        <v>45.000000000000007</v>
      </c>
      <c r="J121" s="203">
        <f>IF(D121=0," ",(H121)*(Details!$C$6+Details!$C$8))</f>
        <v>0</v>
      </c>
      <c r="K121" s="59">
        <f t="shared" ref="K121" si="110">+G121*C121</f>
        <v>300</v>
      </c>
      <c r="L121" s="48">
        <f t="shared" ref="L121" si="111">+H121*C121</f>
        <v>0</v>
      </c>
      <c r="M121" s="48">
        <f t="shared" ref="M121" si="112">IF(D121=0," ",(I121*C121))</f>
        <v>45.000000000000007</v>
      </c>
      <c r="N121" s="203">
        <f t="shared" ref="N121" si="113">IF(D121=0," ",(J121*C121))</f>
        <v>0</v>
      </c>
      <c r="O121" s="269"/>
      <c r="P121" s="51"/>
      <c r="Q121" s="51"/>
    </row>
    <row r="122" spans="1:17" s="38" customFormat="1" ht="18" x14ac:dyDescent="0.35">
      <c r="A122" s="75" t="str">
        <f>IF(F122&lt;&gt;"",(LARGE(A$7:A121,1)+1),"")</f>
        <v/>
      </c>
      <c r="B122" s="153"/>
      <c r="C122" s="146"/>
      <c r="D122" s="51"/>
      <c r="E122" s="48"/>
      <c r="F122" s="203"/>
      <c r="G122" s="59"/>
      <c r="H122" s="48"/>
      <c r="I122" s="48"/>
      <c r="J122" s="203"/>
      <c r="K122" s="59"/>
      <c r="L122" s="48"/>
      <c r="M122" s="48"/>
      <c r="N122" s="203"/>
      <c r="O122" s="269"/>
      <c r="P122" s="51"/>
      <c r="Q122" s="51"/>
    </row>
    <row r="123" spans="1:17" s="38" customFormat="1" ht="18" x14ac:dyDescent="0.35">
      <c r="A123" s="75">
        <f>IF(F123&lt;&gt;"",(LARGE(A$7:A122,1)+1),"")</f>
        <v>49</v>
      </c>
      <c r="B123" s="153" t="s">
        <v>238</v>
      </c>
      <c r="C123" s="146">
        <v>1</v>
      </c>
      <c r="D123" s="51" t="s">
        <v>12</v>
      </c>
      <c r="E123" s="48">
        <f t="shared" si="108"/>
        <v>550</v>
      </c>
      <c r="F123" s="203">
        <f t="shared" ref="F123" si="114">E123*C123</f>
        <v>550</v>
      </c>
      <c r="G123" s="59">
        <v>200</v>
      </c>
      <c r="H123" s="48">
        <v>350</v>
      </c>
      <c r="I123" s="48">
        <f>IF(D123=0," ",(G123)*(Details!$C$4+Details!$C$8))</f>
        <v>30.000000000000004</v>
      </c>
      <c r="J123" s="203">
        <f>IF(D123=0," ",(H123)*(Details!$C$6+Details!$C$8))</f>
        <v>52.500000000000007</v>
      </c>
      <c r="K123" s="59">
        <f t="shared" ref="K123" si="115">+G123*C123</f>
        <v>200</v>
      </c>
      <c r="L123" s="48">
        <f t="shared" ref="L123" si="116">+H123*C123</f>
        <v>350</v>
      </c>
      <c r="M123" s="48">
        <f t="shared" ref="M123" si="117">IF(D123=0," ",(I123*C123))</f>
        <v>30.000000000000004</v>
      </c>
      <c r="N123" s="203">
        <f t="shared" ref="N123" si="118">IF(D123=0," ",(J123*C123))</f>
        <v>52.500000000000007</v>
      </c>
      <c r="O123" s="269"/>
      <c r="P123" s="51"/>
      <c r="Q123" s="51"/>
    </row>
    <row r="124" spans="1:17" s="38" customFormat="1" ht="18" x14ac:dyDescent="0.35">
      <c r="A124" s="75" t="str">
        <f>IF(F124&lt;&gt;"",(LARGE(A$7:A123,1)+1),"")</f>
        <v/>
      </c>
      <c r="B124" s="152"/>
      <c r="C124" s="146"/>
      <c r="D124" s="51"/>
      <c r="E124" s="48"/>
      <c r="F124" s="203"/>
      <c r="G124" s="48"/>
      <c r="H124" s="48"/>
      <c r="I124" s="48"/>
      <c r="J124" s="203"/>
      <c r="K124" s="59"/>
      <c r="L124" s="48"/>
      <c r="M124" s="48"/>
      <c r="N124" s="203"/>
      <c r="O124" s="269"/>
      <c r="P124" s="51"/>
      <c r="Q124" s="51"/>
    </row>
    <row r="125" spans="1:17" s="38" customFormat="1" ht="18" x14ac:dyDescent="0.35">
      <c r="A125" s="75" t="str">
        <f>IF(F125&lt;&gt;"",(LARGE(A$7:A124,1)+1),"")</f>
        <v/>
      </c>
      <c r="B125" s="168" t="s">
        <v>239</v>
      </c>
      <c r="C125" s="154"/>
      <c r="D125" s="51"/>
      <c r="E125" s="48"/>
      <c r="F125" s="203"/>
      <c r="G125" s="59"/>
      <c r="H125" s="48"/>
      <c r="I125" s="48"/>
      <c r="J125" s="203"/>
      <c r="K125" s="59"/>
      <c r="L125" s="48"/>
      <c r="M125" s="48"/>
      <c r="N125" s="203"/>
      <c r="O125" s="269"/>
      <c r="P125" s="51"/>
      <c r="Q125" s="51"/>
    </row>
    <row r="126" spans="1:17" s="38" customFormat="1" ht="18" x14ac:dyDescent="0.35">
      <c r="A126" s="75">
        <f>IF(F126&lt;&gt;"",(LARGE(A$7:A125,1)+1),"")</f>
        <v>50</v>
      </c>
      <c r="B126" s="153" t="s">
        <v>240</v>
      </c>
      <c r="C126" s="154">
        <v>1</v>
      </c>
      <c r="D126" s="51" t="s">
        <v>11</v>
      </c>
      <c r="E126" s="48">
        <f t="shared" ref="E126" si="119">G126+H126</f>
        <v>200</v>
      </c>
      <c r="F126" s="203">
        <f t="shared" ref="F126" si="120">E126*C126</f>
        <v>200</v>
      </c>
      <c r="G126" s="59">
        <v>200</v>
      </c>
      <c r="H126" s="48">
        <v>0</v>
      </c>
      <c r="I126" s="48">
        <f>IF(D126=0," ",(G126)*(Details!$C$4+Details!$C$8))</f>
        <v>30.000000000000004</v>
      </c>
      <c r="J126" s="203">
        <f>IF(D126=0," ",(H126)*(Details!$C$6+Details!$C$8))</f>
        <v>0</v>
      </c>
      <c r="K126" s="59">
        <f t="shared" ref="K126" si="121">+G126*C126</f>
        <v>200</v>
      </c>
      <c r="L126" s="48">
        <f t="shared" ref="L126" si="122">+H126*C126</f>
        <v>0</v>
      </c>
      <c r="M126" s="48">
        <f t="shared" ref="M126" si="123">IF(D126=0," ",(I126*C126))</f>
        <v>30.000000000000004</v>
      </c>
      <c r="N126" s="203">
        <f t="shared" ref="N126" si="124">IF(D126=0," ",(J126*C126))</f>
        <v>0</v>
      </c>
      <c r="O126" s="269"/>
      <c r="P126" s="51"/>
      <c r="Q126" s="51"/>
    </row>
    <row r="127" spans="1:17" s="38" customFormat="1" ht="18" x14ac:dyDescent="0.35">
      <c r="A127" s="75" t="str">
        <f>IF(F127&lt;&gt;"",(LARGE(A$7:A126,1)+1),"")</f>
        <v/>
      </c>
      <c r="B127" s="153"/>
      <c r="C127" s="146"/>
      <c r="D127" s="51"/>
      <c r="E127" s="48"/>
      <c r="F127" s="203"/>
      <c r="G127" s="48"/>
      <c r="H127" s="48"/>
      <c r="I127" s="48"/>
      <c r="J127" s="203"/>
      <c r="K127" s="59"/>
      <c r="L127" s="48"/>
      <c r="M127" s="48"/>
      <c r="N127" s="203"/>
      <c r="O127" s="269"/>
      <c r="P127" s="51"/>
      <c r="Q127" s="51"/>
    </row>
    <row r="128" spans="1:17" s="38" customFormat="1" ht="18" x14ac:dyDescent="0.35">
      <c r="A128" s="75"/>
      <c r="C128" s="146"/>
      <c r="D128" s="51"/>
      <c r="E128" s="48"/>
      <c r="F128" s="203"/>
      <c r="G128" s="48"/>
      <c r="H128" s="48"/>
      <c r="I128" s="48"/>
      <c r="J128" s="203"/>
      <c r="K128" s="48"/>
      <c r="L128" s="48"/>
      <c r="M128" s="48"/>
      <c r="N128" s="203"/>
      <c r="O128" s="269"/>
      <c r="P128" s="51"/>
      <c r="Q128" s="51"/>
    </row>
    <row r="129" spans="1:16" s="21" customFormat="1" ht="18" x14ac:dyDescent="0.35">
      <c r="A129" s="75" t="str">
        <f>IF(F129&lt;&gt;"",(LARGE(A$7:A127,1)+1),"")</f>
        <v/>
      </c>
      <c r="B129" s="153"/>
      <c r="C129" s="146"/>
      <c r="D129" s="51"/>
      <c r="E129" s="48"/>
      <c r="F129" s="203"/>
      <c r="G129" s="59"/>
      <c r="H129" s="48"/>
      <c r="I129" s="48"/>
      <c r="J129" s="203"/>
      <c r="K129" s="20"/>
      <c r="L129" s="20"/>
      <c r="M129" s="20"/>
      <c r="N129" s="203"/>
      <c r="P129" s="72" t="s">
        <v>142</v>
      </c>
    </row>
    <row r="130" spans="1:16" s="21" customFormat="1" ht="18.600000000000001" thickBot="1" x14ac:dyDescent="0.4">
      <c r="A130" s="75"/>
      <c r="B130" s="164"/>
      <c r="C130" s="146"/>
      <c r="D130" s="60"/>
      <c r="E130" s="62" t="s">
        <v>115</v>
      </c>
      <c r="F130" s="204">
        <f>SUM(F1:F129)</f>
        <v>22343.90700000001</v>
      </c>
      <c r="G130" s="59"/>
      <c r="H130" s="48"/>
      <c r="I130" s="48"/>
      <c r="J130" s="203"/>
      <c r="K130" s="252">
        <f>SUM(K7:K129)</f>
        <v>11408.233999999999</v>
      </c>
      <c r="L130" s="253">
        <f>SUM(L7:L129)</f>
        <v>10935.672999999997</v>
      </c>
      <c r="M130" s="253">
        <f>SUM(M7:M129)</f>
        <v>1711.2351000000006</v>
      </c>
      <c r="N130" s="204">
        <f>SUM(N7:N129)</f>
        <v>1640.35095</v>
      </c>
      <c r="P130" s="72">
        <f>+F130-K130-L130-N130-M130</f>
        <v>-3351.5860499999862</v>
      </c>
    </row>
    <row r="131" spans="1:16" s="21" customFormat="1" ht="19.2" thickTop="1" thickBot="1" x14ac:dyDescent="0.4">
      <c r="A131" s="165" t="str">
        <f>IF(F131&lt;&gt;"",(LARGE(A$7:A130,1)+1),"")</f>
        <v/>
      </c>
      <c r="B131" s="166"/>
      <c r="C131" s="159"/>
      <c r="D131" s="63"/>
      <c r="E131" s="65"/>
      <c r="F131" s="205"/>
      <c r="G131" s="66"/>
      <c r="H131" s="65"/>
      <c r="I131" s="65"/>
      <c r="J131" s="67"/>
      <c r="K131" s="56"/>
      <c r="L131" s="56"/>
      <c r="M131" s="56"/>
      <c r="N131" s="189"/>
      <c r="P131" s="55"/>
    </row>
  </sheetData>
  <mergeCells count="2">
    <mergeCell ref="G5:J5"/>
    <mergeCell ref="K5:N5"/>
  </mergeCells>
  <conditionalFormatting sqref="G8:G10626">
    <cfRule type="notContainsBlanks" dxfId="110" priority="1">
      <formula>LEN(TRIM(G8))&gt;0</formula>
    </cfRule>
  </conditionalFormatting>
  <conditionalFormatting sqref="H12:H42">
    <cfRule type="notContainsBlanks" dxfId="109" priority="19">
      <formula>LEN(TRIM(H12))&gt;0</formula>
    </cfRule>
  </conditionalFormatting>
  <conditionalFormatting sqref="H46:H52 H55:H62 H64:H68 H71:H73 H76:H78 H83:H91 H95:H101 H104">
    <cfRule type="notContainsBlanks" dxfId="108" priority="6">
      <formula>LEN(TRIM(H46))&gt;0</formula>
    </cfRule>
  </conditionalFormatting>
  <conditionalFormatting sqref="H108 H110 H112 H114 H116 H118:H119 H121:H123 H125:H126">
    <cfRule type="notContainsBlanks" dxfId="107" priority="2">
      <formula>LEN(TRIM(H108))&gt;0</formula>
    </cfRule>
  </conditionalFormatting>
  <conditionalFormatting sqref="H8:I9 H10 H11:I11 I13 I16 I18">
    <cfRule type="notContainsBlanks" dxfId="106" priority="203">
      <formula>LEN(TRIM(H8))&gt;0</formula>
    </cfRule>
  </conditionalFormatting>
  <conditionalFormatting sqref="H19:I19 H120:I120 H124:I124 H127:I10626">
    <cfRule type="notContainsBlanks" dxfId="105" priority="190">
      <formula>LEN(TRIM(H19))&gt;0</formula>
    </cfRule>
  </conditionalFormatting>
  <conditionalFormatting sqref="H25:I25 H31:I31 H37:I37 H53:I54 H69:I70 H74:I75 H92:I94 H102:I103">
    <cfRule type="notContainsBlanks" dxfId="104" priority="18">
      <formula>LEN(TRIM(H25))&gt;0</formula>
    </cfRule>
  </conditionalFormatting>
  <conditionalFormatting sqref="H43:I45 H63:I63 H79:I82 H105:I105 H106">
    <cfRule type="notContainsBlanks" dxfId="103" priority="168">
      <formula>LEN(TRIM(H43))&gt;0</formula>
    </cfRule>
  </conditionalFormatting>
  <conditionalFormatting sqref="H107:I107 H109:I109 H111:I111 H113:I113 H115:I115 H117:I117">
    <cfRule type="notContainsBlanks" dxfId="102" priority="194">
      <formula>LEN(TRIM(H107))&gt;0</formula>
    </cfRule>
  </conditionalFormatting>
  <conditionalFormatting sqref="P130">
    <cfRule type="cellIs" dxfId="101" priority="199" operator="equal">
      <formula>0</formula>
    </cfRule>
    <cfRule type="cellIs" dxfId="100" priority="200" operator="notBetween">
      <formula>-0.01</formula>
      <formula>0.01</formula>
    </cfRule>
  </conditionalFormatting>
  <printOptions horizontalCentered="1"/>
  <pageMargins left="0.70866141732283461" right="0.70866141732283461" top="0.31496062992125984" bottom="0.55118110236220474" header="0.31496062992125984" footer="0.31496062992125984"/>
  <pageSetup paperSize="9" scale="62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>
    <pageSetUpPr fitToPage="1"/>
  </sheetPr>
  <dimension ref="A1:Q66"/>
  <sheetViews>
    <sheetView topLeftCell="A3" zoomScale="75" zoomScaleNormal="55" workbookViewId="0">
      <selection activeCell="E12" sqref="E12"/>
    </sheetView>
  </sheetViews>
  <sheetFormatPr defaultColWidth="9.109375" defaultRowHeight="15.6" x14ac:dyDescent="0.3"/>
  <cols>
    <col min="1" max="1" width="8.6640625" style="16" customWidth="1"/>
    <col min="2" max="2" width="80.77734375" style="21" customWidth="1"/>
    <col min="3" max="3" width="12.44140625" style="32" customWidth="1"/>
    <col min="4" max="4" width="8.6640625" style="16" customWidth="1"/>
    <col min="5" max="6" width="15.6640625" style="20" customWidth="1"/>
    <col min="7" max="9" width="14.33203125" style="20" customWidth="1"/>
    <col min="10" max="10" width="14.33203125" style="16" customWidth="1"/>
    <col min="11" max="14" width="15.6640625" style="20" customWidth="1"/>
    <col min="15" max="15" width="10.44140625" style="16" bestFit="1" customWidth="1"/>
    <col min="16" max="16" width="13.77734375" style="16" customWidth="1"/>
    <col min="17" max="16384" width="9.109375" style="16"/>
  </cols>
  <sheetData>
    <row r="1" spans="1:17" x14ac:dyDescent="0.3">
      <c r="A1" s="29"/>
      <c r="B1" s="23"/>
      <c r="C1" s="31"/>
      <c r="D1" s="24"/>
      <c r="E1" s="33"/>
      <c r="F1" s="34"/>
      <c r="G1" s="33"/>
      <c r="H1" s="33"/>
      <c r="I1" s="33"/>
      <c r="J1" s="24"/>
    </row>
    <row r="2" spans="1:17" x14ac:dyDescent="0.3">
      <c r="A2" s="15"/>
      <c r="B2" s="3" t="str">
        <f>+'Qual, Excl &amp; Assum'!B2</f>
        <v>PROJECT: Mr &amp; Mrs Hawkes-Cowands House</v>
      </c>
      <c r="F2" s="35"/>
    </row>
    <row r="3" spans="1:17" x14ac:dyDescent="0.3">
      <c r="A3" s="15"/>
      <c r="B3" s="53" t="str">
        <f>+'Qual, Excl &amp; Assum'!B3</f>
        <v>DATE: 25TH SEPTEMBER 2025</v>
      </c>
      <c r="F3" s="35"/>
    </row>
    <row r="4" spans="1:17" s="21" customFormat="1" ht="16.2" thickBot="1" x14ac:dyDescent="0.35">
      <c r="A4" s="15"/>
      <c r="B4" s="22"/>
      <c r="C4" s="32"/>
      <c r="E4" s="36"/>
      <c r="F4" s="37"/>
      <c r="G4" s="36"/>
      <c r="H4" s="36"/>
      <c r="I4" s="36"/>
      <c r="K4" s="20"/>
      <c r="L4" s="20"/>
      <c r="M4" s="20"/>
      <c r="N4" s="20"/>
    </row>
    <row r="5" spans="1:17" s="21" customFormat="1" ht="38.25" customHeight="1" thickBot="1" x14ac:dyDescent="0.35">
      <c r="A5" s="210"/>
      <c r="B5" s="211" t="s">
        <v>14</v>
      </c>
      <c r="C5" s="212"/>
      <c r="D5" s="213"/>
      <c r="E5" s="214"/>
      <c r="F5" s="220"/>
      <c r="G5" s="370" t="s">
        <v>138</v>
      </c>
      <c r="H5" s="371"/>
      <c r="I5" s="371"/>
      <c r="J5" s="372"/>
      <c r="K5" s="370" t="s">
        <v>139</v>
      </c>
      <c r="L5" s="371"/>
      <c r="M5" s="371"/>
      <c r="N5" s="372"/>
    </row>
    <row r="6" spans="1:17" s="21" customFormat="1" ht="18" x14ac:dyDescent="0.35">
      <c r="A6" s="49"/>
      <c r="B6" s="38"/>
      <c r="C6" s="146"/>
      <c r="D6" s="38"/>
      <c r="E6" s="64"/>
      <c r="F6" s="201"/>
      <c r="G6" s="255"/>
      <c r="H6" s="64"/>
      <c r="I6" s="64"/>
      <c r="J6" s="206"/>
      <c r="K6" s="218"/>
      <c r="L6" s="20"/>
      <c r="M6" s="20"/>
      <c r="N6" s="35"/>
    </row>
    <row r="7" spans="1:17" s="21" customFormat="1" ht="18" x14ac:dyDescent="0.35">
      <c r="A7" s="49"/>
      <c r="B7" s="3" t="s">
        <v>3</v>
      </c>
      <c r="C7" s="263" t="s">
        <v>8</v>
      </c>
      <c r="D7" s="264" t="s">
        <v>2</v>
      </c>
      <c r="E7" s="54" t="s">
        <v>1</v>
      </c>
      <c r="F7" s="265" t="s">
        <v>0</v>
      </c>
      <c r="G7" s="266" t="s">
        <v>34</v>
      </c>
      <c r="H7" s="266" t="s">
        <v>35</v>
      </c>
      <c r="I7" s="266" t="s">
        <v>177</v>
      </c>
      <c r="J7" s="267" t="s">
        <v>178</v>
      </c>
      <c r="K7" s="266" t="s">
        <v>34</v>
      </c>
      <c r="L7" s="266" t="s">
        <v>35</v>
      </c>
      <c r="M7" s="266" t="s">
        <v>177</v>
      </c>
      <c r="N7" s="267" t="s">
        <v>178</v>
      </c>
    </row>
    <row r="8" spans="1:17" s="21" customFormat="1" ht="18" x14ac:dyDescent="0.35">
      <c r="A8" s="49"/>
      <c r="B8" s="160"/>
      <c r="C8" s="154"/>
      <c r="D8" s="51"/>
      <c r="E8" s="48"/>
      <c r="F8" s="203"/>
      <c r="G8" s="59"/>
      <c r="H8" s="48"/>
      <c r="I8" s="48"/>
      <c r="J8" s="203"/>
      <c r="K8" s="218"/>
      <c r="L8" s="20"/>
      <c r="M8" s="20"/>
      <c r="N8" s="203" t="str">
        <f t="shared" ref="N8:N10" si="0">IF(D8=0," ",(J8*C8))</f>
        <v xml:space="preserve"> </v>
      </c>
    </row>
    <row r="9" spans="1:17" s="21" customFormat="1" ht="18" x14ac:dyDescent="0.35">
      <c r="A9" s="49"/>
      <c r="B9" s="168" t="s">
        <v>293</v>
      </c>
      <c r="C9" s="149"/>
      <c r="D9" s="61"/>
      <c r="E9" s="62"/>
      <c r="F9" s="202"/>
      <c r="G9" s="59"/>
      <c r="H9" s="48"/>
      <c r="I9" s="48"/>
      <c r="J9" s="203"/>
      <c r="K9" s="218"/>
      <c r="L9" s="221"/>
      <c r="M9" s="221"/>
      <c r="N9" s="203" t="str">
        <f t="shared" si="0"/>
        <v xml:space="preserve"> </v>
      </c>
    </row>
    <row r="10" spans="1:17" s="21" customFormat="1" ht="18" x14ac:dyDescent="0.35">
      <c r="A10" s="75" t="str">
        <f>IF(F10&lt;&gt;"",(LARGE(A$7:A9,1)+1),"")</f>
        <v/>
      </c>
      <c r="B10" s="349" t="s">
        <v>294</v>
      </c>
      <c r="C10" s="149"/>
      <c r="D10" s="61"/>
      <c r="E10" s="62"/>
      <c r="F10" s="202"/>
      <c r="G10" s="59"/>
      <c r="H10" s="48"/>
      <c r="I10" s="48"/>
      <c r="J10" s="203"/>
      <c r="K10" s="218"/>
      <c r="L10" s="169"/>
      <c r="M10" s="169"/>
      <c r="N10" s="203" t="str">
        <f t="shared" si="0"/>
        <v xml:space="preserve"> </v>
      </c>
    </row>
    <row r="11" spans="1:17" s="21" customFormat="1" ht="18" x14ac:dyDescent="0.35">
      <c r="A11" s="75"/>
      <c r="B11" s="155"/>
      <c r="C11" s="149"/>
      <c r="D11" s="61"/>
      <c r="E11" s="62"/>
      <c r="F11" s="202"/>
      <c r="G11" s="59"/>
      <c r="H11" s="48"/>
      <c r="I11" s="48"/>
      <c r="J11" s="203"/>
      <c r="K11" s="218"/>
      <c r="L11" s="169"/>
      <c r="M11" s="169"/>
      <c r="N11" s="203"/>
    </row>
    <row r="12" spans="1:17" s="21" customFormat="1" ht="18" x14ac:dyDescent="0.35">
      <c r="A12" s="49">
        <v>1</v>
      </c>
      <c r="B12" s="155" t="s">
        <v>295</v>
      </c>
      <c r="C12" s="146">
        <v>16.900000000000002</v>
      </c>
      <c r="D12" s="51" t="s">
        <v>10</v>
      </c>
      <c r="E12" s="48">
        <f>G12+H12</f>
        <v>98.3</v>
      </c>
      <c r="F12" s="203">
        <f>E12*C12</f>
        <v>1661.2700000000002</v>
      </c>
      <c r="G12" s="59">
        <v>30.5</v>
      </c>
      <c r="H12" s="48">
        <v>67.8</v>
      </c>
      <c r="I12" s="48">
        <f>IF(D12=0," ",(G12)*(Details!$C$4+Details!$C$8))</f>
        <v>4.5750000000000011</v>
      </c>
      <c r="J12" s="203">
        <f>IF(D12=0," ",(H12)*(Details!$C$6+Details!$C$8))</f>
        <v>10.170000000000002</v>
      </c>
      <c r="K12" s="59">
        <f>+G12*C12</f>
        <v>515.45000000000005</v>
      </c>
      <c r="L12" s="48">
        <f>+H12*C12</f>
        <v>1145.8200000000002</v>
      </c>
      <c r="M12" s="48">
        <f>IF(D12=0," ",(I12*C12))</f>
        <v>77.317500000000024</v>
      </c>
      <c r="N12" s="203">
        <f>IF(D12=0," ",(J12*C12))</f>
        <v>171.87300000000005</v>
      </c>
    </row>
    <row r="13" spans="1:17" s="21" customFormat="1" ht="18" x14ac:dyDescent="0.35">
      <c r="A13" s="49"/>
      <c r="B13" s="155"/>
      <c r="C13" s="146"/>
      <c r="D13" s="51"/>
      <c r="E13" s="48"/>
      <c r="F13" s="203"/>
      <c r="G13" s="59"/>
      <c r="H13" s="48"/>
      <c r="I13" s="48"/>
      <c r="J13" s="203"/>
      <c r="K13" s="59"/>
      <c r="L13" s="48"/>
      <c r="M13" s="48"/>
      <c r="N13" s="203"/>
    </row>
    <row r="14" spans="1:17" s="21" customFormat="1" ht="18" x14ac:dyDescent="0.35">
      <c r="A14" s="49">
        <v>2</v>
      </c>
      <c r="B14" s="153" t="s">
        <v>296</v>
      </c>
      <c r="C14" s="146">
        <v>16.900000000000002</v>
      </c>
      <c r="D14" s="51" t="s">
        <v>10</v>
      </c>
      <c r="E14" s="48">
        <f t="shared" ref="E14:E16" si="1">G14+H14</f>
        <v>54.5</v>
      </c>
      <c r="F14" s="203">
        <f t="shared" ref="F14:F16" si="2">E14*C14</f>
        <v>921.05000000000007</v>
      </c>
      <c r="G14" s="59">
        <v>20</v>
      </c>
      <c r="H14" s="48">
        <v>34.5</v>
      </c>
      <c r="I14" s="48">
        <f>IF(D14=0," ",(G14)*(Details!$C$4+Details!$C$8))</f>
        <v>3.0000000000000004</v>
      </c>
      <c r="J14" s="203">
        <f>IF(D14=0," ",(H14)*(Details!$C$6+Details!$C$8))</f>
        <v>5.1750000000000007</v>
      </c>
      <c r="K14" s="59">
        <f t="shared" ref="K14:K16" si="3">+G14*C14</f>
        <v>338.00000000000006</v>
      </c>
      <c r="L14" s="48">
        <f t="shared" ref="L14:L16" si="4">+H14*C14</f>
        <v>583.05000000000007</v>
      </c>
      <c r="M14" s="48">
        <f t="shared" ref="M14:M16" si="5">IF(D14=0," ",(I14*C14))</f>
        <v>50.700000000000017</v>
      </c>
      <c r="N14" s="203">
        <f t="shared" ref="N14:N16" si="6">IF(D14=0," ",(J14*C14))</f>
        <v>87.457500000000024</v>
      </c>
    </row>
    <row r="15" spans="1:17" s="21" customFormat="1" ht="18" x14ac:dyDescent="0.35">
      <c r="A15" s="49"/>
      <c r="B15" s="153"/>
      <c r="C15" s="146"/>
      <c r="D15" s="51"/>
      <c r="E15" s="48"/>
      <c r="F15" s="203"/>
      <c r="G15" s="59"/>
      <c r="H15" s="48"/>
      <c r="I15" s="48"/>
      <c r="J15" s="203"/>
      <c r="K15" s="59"/>
      <c r="L15" s="48"/>
      <c r="M15" s="48"/>
      <c r="N15" s="203"/>
    </row>
    <row r="16" spans="1:17" s="38" customFormat="1" ht="18" x14ac:dyDescent="0.35">
      <c r="A16" s="49">
        <v>3</v>
      </c>
      <c r="B16" s="153" t="s">
        <v>297</v>
      </c>
      <c r="C16" s="146">
        <v>16.900000000000002</v>
      </c>
      <c r="D16" s="51" t="s">
        <v>10</v>
      </c>
      <c r="E16" s="48">
        <f t="shared" si="1"/>
        <v>100</v>
      </c>
      <c r="F16" s="203">
        <f t="shared" si="2"/>
        <v>1690.0000000000002</v>
      </c>
      <c r="G16" s="59">
        <v>34.5</v>
      </c>
      <c r="H16" s="48">
        <v>65.5</v>
      </c>
      <c r="I16" s="48">
        <f>IF(D16=0," ",(G16)*(Details!$C$4+Details!$C$8))</f>
        <v>5.1750000000000007</v>
      </c>
      <c r="J16" s="203">
        <f>IF(D16=0," ",(H16)*(Details!$C$6+Details!$C$8))</f>
        <v>9.8250000000000011</v>
      </c>
      <c r="K16" s="59">
        <f t="shared" si="3"/>
        <v>583.05000000000007</v>
      </c>
      <c r="L16" s="48">
        <f t="shared" si="4"/>
        <v>1106.95</v>
      </c>
      <c r="M16" s="48">
        <f t="shared" si="5"/>
        <v>87.457500000000024</v>
      </c>
      <c r="N16" s="203">
        <f t="shared" si="6"/>
        <v>166.04250000000005</v>
      </c>
      <c r="O16" s="261"/>
      <c r="P16" s="48"/>
      <c r="Q16" s="48"/>
    </row>
    <row r="17" spans="1:17" s="38" customFormat="1" ht="18" x14ac:dyDescent="0.35">
      <c r="A17" s="49"/>
      <c r="B17" s="153"/>
      <c r="C17" s="146"/>
      <c r="D17" s="51"/>
      <c r="E17" s="48"/>
      <c r="F17" s="203"/>
      <c r="G17" s="59"/>
      <c r="H17" s="48"/>
      <c r="I17" s="48"/>
      <c r="J17" s="203"/>
      <c r="K17" s="59"/>
      <c r="L17" s="48"/>
      <c r="M17" s="48"/>
      <c r="N17" s="203"/>
      <c r="O17" s="261"/>
      <c r="P17" s="48"/>
      <c r="Q17" s="48"/>
    </row>
    <row r="18" spans="1:17" s="38" customFormat="1" ht="18" x14ac:dyDescent="0.35">
      <c r="A18" s="75" t="str">
        <f>IF(F18&lt;&gt;"",(LARGE(A$7:A17,1)+1),"")</f>
        <v/>
      </c>
      <c r="B18" s="349" t="s">
        <v>298</v>
      </c>
      <c r="C18" s="146"/>
      <c r="D18" s="51"/>
      <c r="E18" s="48"/>
      <c r="F18" s="203"/>
      <c r="G18" s="59"/>
      <c r="H18" s="48"/>
      <c r="I18" s="48"/>
      <c r="J18" s="203"/>
      <c r="K18" s="59"/>
      <c r="L18" s="48"/>
      <c r="M18" s="48"/>
      <c r="N18" s="203"/>
      <c r="O18" s="261"/>
      <c r="P18" s="48"/>
      <c r="Q18" s="48"/>
    </row>
    <row r="19" spans="1:17" s="38" customFormat="1" ht="18" x14ac:dyDescent="0.35">
      <c r="A19" s="75"/>
      <c r="B19" s="153"/>
      <c r="C19" s="146"/>
      <c r="D19" s="51"/>
      <c r="E19" s="48"/>
      <c r="F19" s="203"/>
      <c r="G19" s="59"/>
      <c r="H19" s="48"/>
      <c r="I19" s="48"/>
      <c r="J19" s="203"/>
      <c r="K19" s="59"/>
      <c r="L19" s="48"/>
      <c r="M19" s="48"/>
      <c r="N19" s="203"/>
      <c r="O19" s="348"/>
      <c r="P19" s="48"/>
      <c r="Q19" s="48"/>
    </row>
    <row r="20" spans="1:17" s="21" customFormat="1" ht="18" x14ac:dyDescent="0.35">
      <c r="A20" s="75">
        <f>IF(F20&lt;&gt;"",(LARGE(A$7:A18,1)+1),"")</f>
        <v>4</v>
      </c>
      <c r="B20" s="153" t="s">
        <v>296</v>
      </c>
      <c r="C20" s="146">
        <v>10.575000000000001</v>
      </c>
      <c r="D20" s="51" t="s">
        <v>10</v>
      </c>
      <c r="E20" s="48">
        <f>G20+H20</f>
        <v>79.8</v>
      </c>
      <c r="F20" s="203">
        <f t="shared" ref="F20:F22" si="7">E20*C20</f>
        <v>843.8850000000001</v>
      </c>
      <c r="G20" s="59">
        <v>30</v>
      </c>
      <c r="H20" s="48">
        <v>49.8</v>
      </c>
      <c r="I20" s="48">
        <f>IF(D20=0," ",(G20)*(Details!$C$4+Details!$C$8))</f>
        <v>4.5000000000000009</v>
      </c>
      <c r="J20" s="203">
        <f>IF(D20=0," ",(H20)*(Details!$C$6+Details!$C$8))</f>
        <v>7.4700000000000006</v>
      </c>
      <c r="K20" s="59">
        <f t="shared" ref="K20:K22" si="8">+G20*C20</f>
        <v>317.25000000000006</v>
      </c>
      <c r="L20" s="48">
        <f t="shared" ref="L20:L22" si="9">+H20*C20</f>
        <v>526.63499999999999</v>
      </c>
      <c r="M20" s="48">
        <f t="shared" ref="M20:M22" si="10">IF(D20=0," ",(I20*C20))</f>
        <v>47.587500000000013</v>
      </c>
      <c r="N20" s="203">
        <f t="shared" ref="N20:N22" si="11">IF(D20=0," ",(J20*C20))</f>
        <v>78.995250000000013</v>
      </c>
    </row>
    <row r="21" spans="1:17" s="21" customFormat="1" ht="18" x14ac:dyDescent="0.35">
      <c r="A21" s="75"/>
      <c r="B21" s="153"/>
      <c r="C21" s="146"/>
      <c r="D21" s="51"/>
      <c r="E21" s="48"/>
      <c r="F21" s="203"/>
      <c r="G21" s="59"/>
      <c r="H21" s="48"/>
      <c r="I21" s="48"/>
      <c r="J21" s="203"/>
      <c r="K21" s="59"/>
      <c r="L21" s="48"/>
      <c r="M21" s="48"/>
      <c r="N21" s="203"/>
    </row>
    <row r="22" spans="1:17" s="21" customFormat="1" ht="18" x14ac:dyDescent="0.35">
      <c r="A22" s="75">
        <f>IF(F22&lt;&gt;"",(LARGE(A$7:A20,1)+1),"")</f>
        <v>5</v>
      </c>
      <c r="B22" s="153" t="s">
        <v>297</v>
      </c>
      <c r="C22" s="146">
        <v>10.575000000000001</v>
      </c>
      <c r="D22" s="51" t="s">
        <v>10</v>
      </c>
      <c r="E22" s="48">
        <f>G22+H22</f>
        <v>95</v>
      </c>
      <c r="F22" s="203">
        <f t="shared" si="7"/>
        <v>1004.6250000000001</v>
      </c>
      <c r="G22" s="59">
        <v>30.5</v>
      </c>
      <c r="H22" s="48">
        <v>64.5</v>
      </c>
      <c r="I22" s="48">
        <f>IF(D22=0," ",(G22)*(Details!$C$4+Details!$C$8))</f>
        <v>4.5750000000000011</v>
      </c>
      <c r="J22" s="203">
        <f>IF(D22=0," ",(H22)*(Details!$C$6+Details!$C$8))</f>
        <v>9.6750000000000007</v>
      </c>
      <c r="K22" s="59">
        <f t="shared" si="8"/>
        <v>322.53750000000002</v>
      </c>
      <c r="L22" s="48">
        <f t="shared" si="9"/>
        <v>682.08750000000009</v>
      </c>
      <c r="M22" s="48">
        <f t="shared" si="10"/>
        <v>48.380625000000016</v>
      </c>
      <c r="N22" s="203">
        <f t="shared" si="11"/>
        <v>102.31312500000001</v>
      </c>
    </row>
    <row r="23" spans="1:17" s="21" customFormat="1" ht="18" x14ac:dyDescent="0.35">
      <c r="A23" s="75" t="str">
        <f>IF(F23&lt;&gt;"",(LARGE(A$7:A22,1)+1),"")</f>
        <v/>
      </c>
      <c r="B23" s="153"/>
      <c r="C23" s="146"/>
      <c r="D23" s="51"/>
      <c r="E23" s="48"/>
      <c r="F23" s="203"/>
      <c r="G23" s="59"/>
      <c r="H23" s="48"/>
      <c r="I23" s="48"/>
      <c r="J23" s="203"/>
      <c r="K23" s="59"/>
      <c r="L23" s="48"/>
      <c r="M23" s="48"/>
      <c r="N23" s="203"/>
    </row>
    <row r="24" spans="1:17" s="21" customFormat="1" ht="18" x14ac:dyDescent="0.35">
      <c r="A24" s="75" t="str">
        <f>IF(F24&lt;&gt;"",(LARGE(A$7:A23,1)+1),"")</f>
        <v/>
      </c>
      <c r="B24" s="349" t="s">
        <v>299</v>
      </c>
      <c r="C24" s="146"/>
      <c r="D24" s="51"/>
      <c r="E24" s="48"/>
      <c r="F24" s="203"/>
      <c r="G24" s="59"/>
      <c r="H24" s="48"/>
      <c r="I24" s="48"/>
      <c r="J24" s="203"/>
      <c r="K24" s="59"/>
      <c r="L24" s="48"/>
      <c r="M24" s="48"/>
      <c r="N24" s="203"/>
    </row>
    <row r="25" spans="1:17" s="21" customFormat="1" ht="18" x14ac:dyDescent="0.35">
      <c r="A25" s="75"/>
      <c r="B25" s="153"/>
      <c r="C25" s="146"/>
      <c r="D25" s="51"/>
      <c r="E25" s="48"/>
      <c r="F25" s="203"/>
      <c r="G25" s="59"/>
      <c r="H25" s="48"/>
      <c r="I25" s="48"/>
      <c r="J25" s="203"/>
      <c r="K25" s="59"/>
      <c r="L25" s="48"/>
      <c r="M25" s="48"/>
      <c r="N25" s="203"/>
    </row>
    <row r="26" spans="1:17" s="21" customFormat="1" ht="21" customHeight="1" x14ac:dyDescent="0.35">
      <c r="A26" s="75">
        <f>IF(F26&lt;&gt;"",(LARGE(A$7:A24,1)+1),"")</f>
        <v>6</v>
      </c>
      <c r="B26" s="153" t="s">
        <v>300</v>
      </c>
      <c r="C26" s="146">
        <v>26.950000000000003</v>
      </c>
      <c r="D26" s="51" t="s">
        <v>10</v>
      </c>
      <c r="E26" s="48">
        <f>G26+H26</f>
        <v>52.4</v>
      </c>
      <c r="F26" s="203">
        <f t="shared" ref="F26:F38" si="12">E26*C26</f>
        <v>1412.18</v>
      </c>
      <c r="G26" s="59">
        <v>20</v>
      </c>
      <c r="H26" s="48">
        <v>32.4</v>
      </c>
      <c r="I26" s="48">
        <f>IF(D26=0," ",(G26)*(Details!$C$4+Details!$C$8))</f>
        <v>3.0000000000000004</v>
      </c>
      <c r="J26" s="203">
        <f>IF(D26=0," ",(H26)*(Details!$C$6+Details!$C$8))</f>
        <v>4.8600000000000003</v>
      </c>
      <c r="K26" s="59">
        <f t="shared" ref="K26:K38" si="13">+G26*C26</f>
        <v>539</v>
      </c>
      <c r="L26" s="48">
        <f t="shared" ref="L26:L38" si="14">+H26*C26</f>
        <v>873.18000000000006</v>
      </c>
      <c r="M26" s="48">
        <f t="shared" ref="M26:M38" si="15">IF(D26=0," ",(I26*C26))</f>
        <v>80.850000000000023</v>
      </c>
      <c r="N26" s="203">
        <f t="shared" ref="N26:N38" si="16">IF(D26=0," ",(J26*C26))</f>
        <v>130.97700000000003</v>
      </c>
    </row>
    <row r="27" spans="1:17" s="21" customFormat="1" ht="21" customHeight="1" x14ac:dyDescent="0.35">
      <c r="A27" s="75"/>
      <c r="B27" s="153"/>
      <c r="C27" s="146"/>
      <c r="D27" s="51"/>
      <c r="E27" s="48"/>
      <c r="F27" s="203"/>
      <c r="G27" s="59"/>
      <c r="H27" s="48"/>
      <c r="I27" s="48"/>
      <c r="J27" s="203"/>
      <c r="K27" s="59"/>
      <c r="L27" s="48"/>
      <c r="M27" s="48"/>
      <c r="N27" s="203"/>
    </row>
    <row r="28" spans="1:17" s="21" customFormat="1" ht="18" x14ac:dyDescent="0.35">
      <c r="A28" s="75">
        <f>IF(F28&lt;&gt;"",(LARGE(A$7:A26,1)+1),"")</f>
        <v>7</v>
      </c>
      <c r="B28" s="153" t="s">
        <v>301</v>
      </c>
      <c r="C28" s="146">
        <v>22</v>
      </c>
      <c r="D28" s="51" t="s">
        <v>13</v>
      </c>
      <c r="E28" s="48">
        <f t="shared" ref="E28:E36" si="17">G28+H28</f>
        <v>22.4</v>
      </c>
      <c r="F28" s="203">
        <f t="shared" si="12"/>
        <v>492.79999999999995</v>
      </c>
      <c r="G28" s="59">
        <v>9</v>
      </c>
      <c r="H28" s="48">
        <v>13.4</v>
      </c>
      <c r="I28" s="48">
        <f>IF(D28=0," ",(G28)*(Details!$C$4+Details!$C$8))</f>
        <v>1.35</v>
      </c>
      <c r="J28" s="203">
        <f>IF(D28=0," ",(H28)*(Details!$C$6+Details!$C$8))</f>
        <v>2.0100000000000002</v>
      </c>
      <c r="K28" s="59">
        <f t="shared" si="13"/>
        <v>198</v>
      </c>
      <c r="L28" s="48">
        <f t="shared" si="14"/>
        <v>294.8</v>
      </c>
      <c r="M28" s="48">
        <f t="shared" si="15"/>
        <v>29.700000000000003</v>
      </c>
      <c r="N28" s="203">
        <f t="shared" si="16"/>
        <v>44.220000000000006</v>
      </c>
    </row>
    <row r="29" spans="1:17" s="21" customFormat="1" ht="18" x14ac:dyDescent="0.35">
      <c r="A29" s="75"/>
      <c r="B29" s="153"/>
      <c r="C29" s="146"/>
      <c r="D29" s="51"/>
      <c r="E29" s="48"/>
      <c r="F29" s="203"/>
      <c r="G29" s="59"/>
      <c r="H29" s="48"/>
      <c r="I29" s="48"/>
      <c r="J29" s="203"/>
      <c r="K29" s="59"/>
      <c r="L29" s="48"/>
      <c r="M29" s="48"/>
      <c r="N29" s="203"/>
    </row>
    <row r="30" spans="1:17" s="21" customFormat="1" ht="18" x14ac:dyDescent="0.35">
      <c r="A30" s="75">
        <f>IF(F30&lt;&gt;"",(LARGE(A$7:A28,1)+1),"")</f>
        <v>8</v>
      </c>
      <c r="B30" s="153" t="s">
        <v>302</v>
      </c>
      <c r="C30" s="146">
        <v>11</v>
      </c>
      <c r="D30" s="51" t="s">
        <v>13</v>
      </c>
      <c r="E30" s="48">
        <f t="shared" si="17"/>
        <v>22.4</v>
      </c>
      <c r="F30" s="203">
        <f t="shared" si="12"/>
        <v>246.39999999999998</v>
      </c>
      <c r="G30" s="59">
        <v>9</v>
      </c>
      <c r="H30" s="48">
        <v>13.4</v>
      </c>
      <c r="I30" s="48">
        <f>IF(D30=0," ",(G30)*(Details!$C$4+Details!$C$8))</f>
        <v>1.35</v>
      </c>
      <c r="J30" s="203">
        <f>IF(D30=0," ",(H30)*(Details!$C$6+Details!$C$8))</f>
        <v>2.0100000000000002</v>
      </c>
      <c r="K30" s="59">
        <f t="shared" si="13"/>
        <v>99</v>
      </c>
      <c r="L30" s="48">
        <f t="shared" si="14"/>
        <v>147.4</v>
      </c>
      <c r="M30" s="48">
        <f t="shared" si="15"/>
        <v>14.850000000000001</v>
      </c>
      <c r="N30" s="203">
        <f t="shared" si="16"/>
        <v>22.110000000000003</v>
      </c>
    </row>
    <row r="31" spans="1:17" s="21" customFormat="1" ht="18" x14ac:dyDescent="0.35">
      <c r="A31" s="75"/>
      <c r="B31" s="153"/>
      <c r="C31" s="146"/>
      <c r="D31" s="51"/>
      <c r="E31" s="48"/>
      <c r="F31" s="203"/>
      <c r="G31" s="59"/>
      <c r="H31" s="48"/>
      <c r="I31" s="48"/>
      <c r="J31" s="203"/>
      <c r="K31" s="59"/>
      <c r="L31" s="48"/>
      <c r="M31" s="48"/>
      <c r="N31" s="203"/>
    </row>
    <row r="32" spans="1:17" s="21" customFormat="1" ht="18" x14ac:dyDescent="0.35">
      <c r="A32" s="75">
        <f>IF(F32&lt;&gt;"",(LARGE(A$7:A30,1)+1),"")</f>
        <v>9</v>
      </c>
      <c r="B32" s="153" t="s">
        <v>303</v>
      </c>
      <c r="C32" s="146">
        <v>26.950000000000003</v>
      </c>
      <c r="D32" s="51" t="s">
        <v>10</v>
      </c>
      <c r="E32" s="48">
        <f t="shared" si="17"/>
        <v>32.299999999999997</v>
      </c>
      <c r="F32" s="203">
        <f t="shared" si="12"/>
        <v>870.48500000000001</v>
      </c>
      <c r="G32" s="59">
        <v>12.5</v>
      </c>
      <c r="H32" s="48">
        <v>19.8</v>
      </c>
      <c r="I32" s="48">
        <f>IF(D32=0," ",(G32)*(Details!$C$4+Details!$C$8))</f>
        <v>1.8750000000000002</v>
      </c>
      <c r="J32" s="203">
        <f>IF(D32=0," ",(H32)*(Details!$C$6+Details!$C$8))</f>
        <v>2.9700000000000006</v>
      </c>
      <c r="K32" s="59">
        <f t="shared" si="13"/>
        <v>336.87500000000006</v>
      </c>
      <c r="L32" s="48">
        <f t="shared" si="14"/>
        <v>533.61000000000013</v>
      </c>
      <c r="M32" s="48">
        <f t="shared" si="15"/>
        <v>50.531250000000014</v>
      </c>
      <c r="N32" s="203">
        <f t="shared" si="16"/>
        <v>80.041500000000028</v>
      </c>
    </row>
    <row r="33" spans="1:14" s="21" customFormat="1" ht="18" x14ac:dyDescent="0.35">
      <c r="A33" s="75"/>
      <c r="B33" s="153"/>
      <c r="C33" s="146"/>
      <c r="D33" s="51"/>
      <c r="E33" s="48"/>
      <c r="F33" s="203"/>
      <c r="G33" s="59"/>
      <c r="H33" s="48"/>
      <c r="I33" s="48"/>
      <c r="J33" s="203"/>
      <c r="K33" s="59"/>
      <c r="L33" s="48"/>
      <c r="M33" s="48"/>
      <c r="N33" s="203"/>
    </row>
    <row r="34" spans="1:14" s="21" customFormat="1" ht="18" x14ac:dyDescent="0.35">
      <c r="A34" s="75">
        <f>IF(F34&lt;&gt;"",(LARGE(A$7:A32,1)+1),"")</f>
        <v>10</v>
      </c>
      <c r="B34" s="153" t="s">
        <v>304</v>
      </c>
      <c r="C34" s="146">
        <v>26.950000000000003</v>
      </c>
      <c r="D34" s="51" t="s">
        <v>10</v>
      </c>
      <c r="E34" s="48">
        <f t="shared" si="17"/>
        <v>20.399999999999999</v>
      </c>
      <c r="F34" s="203">
        <f t="shared" si="12"/>
        <v>549.78</v>
      </c>
      <c r="G34" s="59">
        <v>9</v>
      </c>
      <c r="H34" s="48">
        <v>11.4</v>
      </c>
      <c r="I34" s="48">
        <f>IF(D34=0," ",(G34)*(Details!$C$4+Details!$C$8))</f>
        <v>1.35</v>
      </c>
      <c r="J34" s="203">
        <f>IF(D34=0," ",(H34)*(Details!$C$6+Details!$C$8))</f>
        <v>1.7100000000000004</v>
      </c>
      <c r="K34" s="59">
        <f t="shared" si="13"/>
        <v>242.55</v>
      </c>
      <c r="L34" s="48">
        <f t="shared" si="14"/>
        <v>307.23</v>
      </c>
      <c r="M34" s="48">
        <f t="shared" si="15"/>
        <v>36.382500000000007</v>
      </c>
      <c r="N34" s="203">
        <f t="shared" si="16"/>
        <v>46.084500000000013</v>
      </c>
    </row>
    <row r="35" spans="1:14" s="21" customFormat="1" ht="18" x14ac:dyDescent="0.35">
      <c r="A35" s="75"/>
      <c r="B35" s="153"/>
      <c r="C35" s="146"/>
      <c r="D35" s="51"/>
      <c r="E35" s="48"/>
      <c r="F35" s="203"/>
      <c r="G35" s="59"/>
      <c r="H35" s="48"/>
      <c r="I35" s="48"/>
      <c r="J35" s="203"/>
      <c r="K35" s="59"/>
      <c r="L35" s="48"/>
      <c r="M35" s="48"/>
      <c r="N35" s="203"/>
    </row>
    <row r="36" spans="1:14" s="21" customFormat="1" ht="18" x14ac:dyDescent="0.35">
      <c r="A36" s="75">
        <f>IF(F36&lt;&gt;"",(LARGE(A$7:A34,1)+1),"")</f>
        <v>11</v>
      </c>
      <c r="B36" s="153" t="s">
        <v>305</v>
      </c>
      <c r="C36" s="146">
        <v>26.950000000000003</v>
      </c>
      <c r="D36" s="51" t="s">
        <v>10</v>
      </c>
      <c r="E36" s="48">
        <f t="shared" si="17"/>
        <v>28.2</v>
      </c>
      <c r="F36" s="203">
        <f t="shared" si="12"/>
        <v>759.99</v>
      </c>
      <c r="G36" s="59">
        <v>10.8</v>
      </c>
      <c r="H36" s="48">
        <v>17.399999999999999</v>
      </c>
      <c r="I36" s="48">
        <f>IF(D36=0," ",(G36)*(Details!$C$4+Details!$C$8))</f>
        <v>1.6200000000000003</v>
      </c>
      <c r="J36" s="203">
        <f>IF(D36=0," ",(H36)*(Details!$C$6+Details!$C$8))</f>
        <v>2.6100000000000003</v>
      </c>
      <c r="K36" s="59">
        <f t="shared" si="13"/>
        <v>291.06000000000006</v>
      </c>
      <c r="L36" s="48">
        <f t="shared" si="14"/>
        <v>468.93</v>
      </c>
      <c r="M36" s="48">
        <f t="shared" si="15"/>
        <v>43.659000000000013</v>
      </c>
      <c r="N36" s="203">
        <f t="shared" si="16"/>
        <v>70.339500000000015</v>
      </c>
    </row>
    <row r="37" spans="1:14" s="21" customFormat="1" ht="18" x14ac:dyDescent="0.35">
      <c r="A37" s="75"/>
      <c r="B37" s="153"/>
      <c r="C37" s="146"/>
      <c r="D37" s="51"/>
      <c r="E37" s="48"/>
      <c r="F37" s="203"/>
      <c r="G37" s="59"/>
      <c r="H37" s="48"/>
      <c r="I37" s="48"/>
      <c r="J37" s="203"/>
      <c r="K37" s="59"/>
      <c r="L37" s="48"/>
      <c r="M37" s="48"/>
      <c r="N37" s="203"/>
    </row>
    <row r="38" spans="1:14" s="21" customFormat="1" ht="18" x14ac:dyDescent="0.35">
      <c r="A38" s="75">
        <f>IF(F38&lt;&gt;"",(LARGE(A$7:A36,1)+1),"")</f>
        <v>12</v>
      </c>
      <c r="B38" s="153" t="s">
        <v>306</v>
      </c>
      <c r="C38" s="146">
        <v>26.950000000000003</v>
      </c>
      <c r="D38" s="51" t="s">
        <v>10</v>
      </c>
      <c r="E38" s="48">
        <f>G38+H38</f>
        <v>7.2</v>
      </c>
      <c r="F38" s="203">
        <f t="shared" si="12"/>
        <v>194.04000000000002</v>
      </c>
      <c r="G38" s="59">
        <v>3</v>
      </c>
      <c r="H38" s="48">
        <v>4.2</v>
      </c>
      <c r="I38" s="48">
        <f>IF(D38=0," ",(G38)*(Details!$C$4+Details!$C$8))</f>
        <v>0.45000000000000007</v>
      </c>
      <c r="J38" s="203">
        <f>IF(D38=0," ",(H38)*(Details!$C$6+Details!$C$8))</f>
        <v>0.63000000000000012</v>
      </c>
      <c r="K38" s="59">
        <f t="shared" si="13"/>
        <v>80.850000000000009</v>
      </c>
      <c r="L38" s="48">
        <f t="shared" si="14"/>
        <v>113.19000000000001</v>
      </c>
      <c r="M38" s="48">
        <f t="shared" si="15"/>
        <v>12.127500000000003</v>
      </c>
      <c r="N38" s="203">
        <f t="shared" si="16"/>
        <v>16.978500000000004</v>
      </c>
    </row>
    <row r="39" spans="1:14" s="21" customFormat="1" ht="18" x14ac:dyDescent="0.35">
      <c r="A39" s="75" t="str">
        <f>IF(F39&lt;&gt;"",(LARGE(A$7:A38,1)+1),"")</f>
        <v/>
      </c>
      <c r="B39" s="153"/>
      <c r="C39" s="146"/>
      <c r="D39" s="51"/>
      <c r="E39" s="48"/>
      <c r="F39" s="203"/>
      <c r="G39" s="48"/>
      <c r="H39" s="48"/>
      <c r="I39" s="48"/>
      <c r="J39" s="203"/>
      <c r="K39" s="15"/>
      <c r="L39" s="20"/>
      <c r="M39" s="20"/>
      <c r="N39" s="203"/>
    </row>
    <row r="40" spans="1:14" s="21" customFormat="1" ht="18" x14ac:dyDescent="0.35">
      <c r="A40" s="75" t="str">
        <f>IF(F40&lt;&gt;"",(LARGE(A$7:A39,1)+1),"")</f>
        <v/>
      </c>
      <c r="B40" s="168" t="s">
        <v>307</v>
      </c>
      <c r="C40" s="146"/>
      <c r="D40" s="51"/>
      <c r="E40" s="48"/>
      <c r="F40" s="203"/>
      <c r="G40" s="48"/>
      <c r="H40" s="48"/>
      <c r="I40" s="48"/>
      <c r="J40" s="203"/>
      <c r="K40" s="15"/>
      <c r="L40" s="20"/>
      <c r="M40" s="20"/>
      <c r="N40" s="203"/>
    </row>
    <row r="41" spans="1:14" s="21" customFormat="1" ht="18" x14ac:dyDescent="0.35">
      <c r="A41" s="75">
        <f>IF(F41&lt;&gt;"",(LARGE(A$7:A40,1)+1),"")</f>
        <v>13</v>
      </c>
      <c r="B41" s="153" t="s">
        <v>308</v>
      </c>
      <c r="C41" s="146">
        <v>6.09</v>
      </c>
      <c r="D41" s="51" t="s">
        <v>13</v>
      </c>
      <c r="E41" s="48">
        <f>G41+H41</f>
        <v>23.7</v>
      </c>
      <c r="F41" s="203">
        <f t="shared" ref="F41" si="18">E41*C41</f>
        <v>144.333</v>
      </c>
      <c r="G41" s="59">
        <v>9.5</v>
      </c>
      <c r="H41" s="48">
        <v>14.2</v>
      </c>
      <c r="I41" s="48">
        <f>IF(D41=0," ",(G41)*(Details!$C$4+Details!$C$8))</f>
        <v>1.4250000000000003</v>
      </c>
      <c r="J41" s="203">
        <f>IF(D41=0," ",(H41)*(Details!$C$6+Details!$C$8))</f>
        <v>2.1300000000000003</v>
      </c>
      <c r="K41" s="59">
        <f t="shared" ref="K41" si="19">+G41*C41</f>
        <v>57.854999999999997</v>
      </c>
      <c r="L41" s="48">
        <f t="shared" ref="L41" si="20">+H41*C41</f>
        <v>86.477999999999994</v>
      </c>
      <c r="M41" s="48">
        <f t="shared" ref="M41" si="21">IF(D41=0," ",(I41*C41))</f>
        <v>8.678250000000002</v>
      </c>
      <c r="N41" s="203">
        <f t="shared" ref="N41" si="22">IF(D41=0," ",(J41*C41))</f>
        <v>12.971700000000002</v>
      </c>
    </row>
    <row r="42" spans="1:14" s="21" customFormat="1" ht="18" x14ac:dyDescent="0.35">
      <c r="A42" s="75" t="str">
        <f>IF(F42&lt;&gt;"",(LARGE(A$7:A41,1)+1),"")</f>
        <v/>
      </c>
      <c r="B42" s="153"/>
      <c r="C42" s="146"/>
      <c r="D42" s="51"/>
      <c r="E42" s="48"/>
      <c r="F42" s="203"/>
      <c r="G42" s="48"/>
      <c r="H42" s="48"/>
      <c r="I42" s="48"/>
      <c r="J42" s="203"/>
      <c r="K42" s="15"/>
      <c r="L42" s="20"/>
      <c r="M42" s="20"/>
      <c r="N42" s="203"/>
    </row>
    <row r="43" spans="1:14" s="21" customFormat="1" ht="18" x14ac:dyDescent="0.35">
      <c r="A43" s="75" t="str">
        <f>IF(F43&lt;&gt;"",(LARGE(A$7:A42,1)+1),"")</f>
        <v/>
      </c>
      <c r="B43" s="168" t="s">
        <v>309</v>
      </c>
      <c r="C43" s="146"/>
      <c r="D43" s="51"/>
      <c r="E43" s="48"/>
      <c r="F43" s="203"/>
      <c r="G43" s="48"/>
      <c r="H43" s="48"/>
      <c r="I43" s="48"/>
      <c r="J43" s="203"/>
      <c r="K43" s="15"/>
      <c r="L43" s="20"/>
      <c r="M43" s="20"/>
      <c r="N43" s="203"/>
    </row>
    <row r="44" spans="1:14" s="21" customFormat="1" ht="18" x14ac:dyDescent="0.35">
      <c r="A44" s="75">
        <f>IF(F44&lt;&gt;"",(LARGE(A$7:A43,1)+1),"")</f>
        <v>14</v>
      </c>
      <c r="B44" s="153" t="s">
        <v>310</v>
      </c>
      <c r="C44" s="146">
        <v>3</v>
      </c>
      <c r="D44" s="51" t="s">
        <v>263</v>
      </c>
      <c r="E44" s="48">
        <f t="shared" ref="E44:E49" si="23">G44+H44</f>
        <v>110</v>
      </c>
      <c r="F44" s="203">
        <f t="shared" ref="F44" si="24">E44*C44</f>
        <v>330</v>
      </c>
      <c r="G44" s="59">
        <v>35</v>
      </c>
      <c r="H44" s="48">
        <v>75</v>
      </c>
      <c r="I44" s="48">
        <f>IF(D44=0," ",(G44)*(Details!$C$4+Details!$C$8))</f>
        <v>5.2500000000000009</v>
      </c>
      <c r="J44" s="203">
        <f>IF(D44=0," ",(H44)*(Details!$C$6+Details!$C$8))</f>
        <v>11.250000000000002</v>
      </c>
      <c r="K44" s="59">
        <f t="shared" ref="K44" si="25">+G44*C44</f>
        <v>105</v>
      </c>
      <c r="L44" s="48">
        <f t="shared" ref="L44" si="26">+H44*C44</f>
        <v>225</v>
      </c>
      <c r="M44" s="48">
        <f t="shared" ref="M44" si="27">IF(D44=0," ",(I44*C44))</f>
        <v>15.750000000000004</v>
      </c>
      <c r="N44" s="203">
        <f t="shared" ref="N44" si="28">IF(D44=0," ",(J44*C44))</f>
        <v>33.750000000000007</v>
      </c>
    </row>
    <row r="45" spans="1:14" s="21" customFormat="1" ht="18" x14ac:dyDescent="0.35">
      <c r="A45" s="75" t="str">
        <f>IF(F45&lt;&gt;"",(LARGE(A$7:A44,1)+1),"")</f>
        <v/>
      </c>
      <c r="B45" s="153"/>
      <c r="C45" s="146"/>
      <c r="D45" s="51"/>
      <c r="E45" s="48"/>
      <c r="F45" s="203"/>
      <c r="G45" s="48"/>
      <c r="H45" s="48"/>
      <c r="I45" s="48"/>
      <c r="J45" s="203"/>
      <c r="K45" s="15"/>
      <c r="L45" s="20"/>
      <c r="M45" s="20"/>
      <c r="N45" s="203"/>
    </row>
    <row r="46" spans="1:14" s="21" customFormat="1" ht="18" x14ac:dyDescent="0.35">
      <c r="A46" s="75" t="str">
        <f>IF(F46&lt;&gt;"",(LARGE(A$7:A45,1)+1),"")</f>
        <v/>
      </c>
      <c r="B46" s="168" t="s">
        <v>311</v>
      </c>
      <c r="C46" s="146"/>
      <c r="D46" s="51"/>
      <c r="E46" s="48"/>
      <c r="F46" s="203"/>
      <c r="G46" s="48"/>
      <c r="H46" s="48"/>
      <c r="I46" s="48"/>
      <c r="J46" s="203"/>
      <c r="K46" s="15"/>
      <c r="L46" s="20"/>
      <c r="M46" s="20"/>
      <c r="N46" s="203"/>
    </row>
    <row r="47" spans="1:14" s="21" customFormat="1" ht="18" x14ac:dyDescent="0.35">
      <c r="A47" s="75">
        <f>IF(F47&lt;&gt;"",(LARGE(A$7:A46,1)+1),"")</f>
        <v>15</v>
      </c>
      <c r="B47" s="153" t="s">
        <v>312</v>
      </c>
      <c r="C47" s="146">
        <v>24</v>
      </c>
      <c r="D47" s="51" t="s">
        <v>10</v>
      </c>
      <c r="E47" s="48">
        <f t="shared" si="23"/>
        <v>52.4</v>
      </c>
      <c r="F47" s="203">
        <f t="shared" ref="F47:F49" si="29">E47*C47</f>
        <v>1257.5999999999999</v>
      </c>
      <c r="G47" s="59">
        <v>20</v>
      </c>
      <c r="H47" s="48">
        <v>32.4</v>
      </c>
      <c r="I47" s="48">
        <f>IF(D47=0," ",(G47)*(Details!$C$4+Details!$C$8))</f>
        <v>3.0000000000000004</v>
      </c>
      <c r="J47" s="203">
        <f>IF(D47=0," ",(H47)*(Details!$C$6+Details!$C$8))</f>
        <v>4.8600000000000003</v>
      </c>
      <c r="K47" s="59">
        <f t="shared" ref="K47:K49" si="30">+G47*C47</f>
        <v>480</v>
      </c>
      <c r="L47" s="48">
        <f t="shared" ref="L47:L49" si="31">+H47*C47</f>
        <v>777.59999999999991</v>
      </c>
      <c r="M47" s="48">
        <f t="shared" ref="M47:M49" si="32">IF(D47=0," ",(I47*C47))</f>
        <v>72.000000000000014</v>
      </c>
      <c r="N47" s="203">
        <f t="shared" ref="N47:N49" si="33">IF(D47=0," ",(J47*C47))</f>
        <v>116.64000000000001</v>
      </c>
    </row>
    <row r="48" spans="1:14" s="21" customFormat="1" ht="18" x14ac:dyDescent="0.35">
      <c r="A48" s="75"/>
      <c r="B48" s="153"/>
      <c r="C48" s="146"/>
      <c r="D48" s="51"/>
      <c r="E48" s="48"/>
      <c r="F48" s="203"/>
      <c r="G48" s="59"/>
      <c r="H48" s="48"/>
      <c r="I48" s="48"/>
      <c r="J48" s="203"/>
      <c r="K48" s="59"/>
      <c r="L48" s="48"/>
      <c r="M48" s="48"/>
      <c r="N48" s="203"/>
    </row>
    <row r="49" spans="1:16" s="21" customFormat="1" ht="18" x14ac:dyDescent="0.35">
      <c r="A49" s="75">
        <f>IF(F49&lt;&gt;"",(LARGE(A$7:A47,1)+1),"")</f>
        <v>16</v>
      </c>
      <c r="B49" s="153" t="s">
        <v>313</v>
      </c>
      <c r="C49" s="146">
        <v>13</v>
      </c>
      <c r="D49" s="51" t="s">
        <v>10</v>
      </c>
      <c r="E49" s="48">
        <f t="shared" si="23"/>
        <v>52.4</v>
      </c>
      <c r="F49" s="203">
        <f t="shared" si="29"/>
        <v>681.19999999999993</v>
      </c>
      <c r="G49" s="59">
        <v>20</v>
      </c>
      <c r="H49" s="48">
        <v>32.4</v>
      </c>
      <c r="I49" s="48">
        <f>IF(D49=0," ",(G49)*(Details!$C$4+Details!$C$8))</f>
        <v>3.0000000000000004</v>
      </c>
      <c r="J49" s="203">
        <f>IF(D49=0," ",(H49)*(Details!$C$6+Details!$C$8))</f>
        <v>4.8600000000000003</v>
      </c>
      <c r="K49" s="59">
        <f t="shared" si="30"/>
        <v>260</v>
      </c>
      <c r="L49" s="48">
        <f t="shared" si="31"/>
        <v>421.2</v>
      </c>
      <c r="M49" s="48">
        <f t="shared" si="32"/>
        <v>39.000000000000007</v>
      </c>
      <c r="N49" s="203">
        <f t="shared" si="33"/>
        <v>63.180000000000007</v>
      </c>
    </row>
    <row r="50" spans="1:16" s="21" customFormat="1" ht="18" x14ac:dyDescent="0.35">
      <c r="A50" s="75" t="str">
        <f>IF(F50&lt;&gt;"",(LARGE(A$7:A49,1)+1),"")</f>
        <v/>
      </c>
      <c r="B50" s="153"/>
      <c r="C50" s="146"/>
      <c r="D50" s="51"/>
      <c r="E50" s="48"/>
      <c r="F50" s="203"/>
      <c r="G50" s="48"/>
      <c r="H50" s="48"/>
      <c r="I50" s="48"/>
      <c r="J50" s="203"/>
      <c r="K50" s="15"/>
      <c r="L50" s="20"/>
      <c r="M50" s="20"/>
      <c r="N50" s="203"/>
    </row>
    <row r="51" spans="1:16" s="21" customFormat="1" ht="18" x14ac:dyDescent="0.35">
      <c r="A51" s="75" t="str">
        <f>IF(F51&lt;&gt;"",(LARGE(A$7:A50,1)+1),"")</f>
        <v/>
      </c>
      <c r="B51" s="168" t="s">
        <v>314</v>
      </c>
      <c r="C51" s="146"/>
      <c r="D51" s="51"/>
      <c r="E51" s="48"/>
      <c r="F51" s="203"/>
      <c r="G51" s="48"/>
      <c r="H51" s="48"/>
      <c r="I51" s="48"/>
      <c r="J51" s="203"/>
      <c r="K51" s="15"/>
      <c r="L51" s="20"/>
      <c r="M51" s="20"/>
      <c r="N51" s="203"/>
    </row>
    <row r="52" spans="1:16" s="21" customFormat="1" ht="18" x14ac:dyDescent="0.35">
      <c r="A52" s="75">
        <f>IF(F52&lt;&gt;"",(LARGE(A$7:A51,1)+1),"")</f>
        <v>17</v>
      </c>
      <c r="B52" s="153" t="s">
        <v>315</v>
      </c>
      <c r="C52" s="146">
        <v>13</v>
      </c>
      <c r="D52" s="51" t="s">
        <v>10</v>
      </c>
      <c r="E52" s="48">
        <f t="shared" ref="E52" si="34">G52+H52</f>
        <v>52.4</v>
      </c>
      <c r="F52" s="203">
        <f t="shared" ref="F52" si="35">E52*C52</f>
        <v>681.19999999999993</v>
      </c>
      <c r="G52" s="59">
        <v>20</v>
      </c>
      <c r="H52" s="48">
        <v>32.4</v>
      </c>
      <c r="I52" s="48">
        <f>IF(D52=0," ",(G52)*(Details!$C$4+Details!$C$8))</f>
        <v>3.0000000000000004</v>
      </c>
      <c r="J52" s="203">
        <f>IF(D52=0," ",(H52)*(Details!$C$6+Details!$C$8))</f>
        <v>4.8600000000000003</v>
      </c>
      <c r="K52" s="59">
        <f t="shared" ref="K52" si="36">+G52*C52</f>
        <v>260</v>
      </c>
      <c r="L52" s="48">
        <f t="shared" ref="L52" si="37">+H52*C52</f>
        <v>421.2</v>
      </c>
      <c r="M52" s="48">
        <f t="shared" ref="M52" si="38">IF(D52=0," ",(I52*C52))</f>
        <v>39.000000000000007</v>
      </c>
      <c r="N52" s="203">
        <f t="shared" ref="N52" si="39">IF(D52=0," ",(J52*C52))</f>
        <v>63.180000000000007</v>
      </c>
    </row>
    <row r="53" spans="1:16" s="21" customFormat="1" ht="18" x14ac:dyDescent="0.35">
      <c r="A53" s="75" t="str">
        <f>IF(F53&lt;&gt;"",(LARGE(A$7:A52,1)+1),"")</f>
        <v/>
      </c>
      <c r="B53" s="153"/>
      <c r="C53" s="146"/>
      <c r="D53" s="51"/>
      <c r="E53" s="48"/>
      <c r="F53" s="203"/>
      <c r="G53" s="48"/>
      <c r="H53" s="48"/>
      <c r="I53" s="48"/>
      <c r="J53" s="203"/>
      <c r="K53" s="15"/>
      <c r="L53" s="20"/>
      <c r="M53" s="20"/>
      <c r="N53" s="203"/>
    </row>
    <row r="54" spans="1:16" s="21" customFormat="1" ht="18" x14ac:dyDescent="0.35">
      <c r="A54" s="75" t="str">
        <f>IF(F54&lt;&gt;"",(LARGE(A$7:A53,1)+1),"")</f>
        <v/>
      </c>
      <c r="B54" s="168" t="s">
        <v>316</v>
      </c>
      <c r="C54" s="146"/>
      <c r="D54" s="51"/>
      <c r="E54" s="48"/>
      <c r="F54" s="203"/>
      <c r="G54" s="48"/>
      <c r="H54" s="48"/>
      <c r="I54" s="48"/>
      <c r="J54" s="203"/>
      <c r="K54" s="15"/>
      <c r="L54" s="20"/>
      <c r="M54" s="20"/>
      <c r="N54" s="203"/>
    </row>
    <row r="55" spans="1:16" s="21" customFormat="1" ht="18" x14ac:dyDescent="0.35">
      <c r="A55" s="75">
        <f>IF(F55&lt;&gt;"",(LARGE(A$7:A54,1)+1),"")</f>
        <v>18</v>
      </c>
      <c r="B55" s="153" t="s">
        <v>317</v>
      </c>
      <c r="C55" s="146">
        <v>8.14</v>
      </c>
      <c r="D55" s="51" t="s">
        <v>13</v>
      </c>
      <c r="E55" s="48">
        <f t="shared" ref="E55" si="40">G55+H55</f>
        <v>29.200000000000003</v>
      </c>
      <c r="F55" s="203">
        <f t="shared" ref="F55:F57" si="41">E55*C55</f>
        <v>237.68800000000005</v>
      </c>
      <c r="G55" s="59">
        <v>11.4</v>
      </c>
      <c r="H55" s="48">
        <v>17.8</v>
      </c>
      <c r="I55" s="48">
        <f>IF(D55=0," ",(G55)*(Details!$C$4+Details!$C$8))</f>
        <v>1.7100000000000004</v>
      </c>
      <c r="J55" s="203">
        <f>IF(D55=0," ",(H55)*(Details!$C$6+Details!$C$8))</f>
        <v>2.6700000000000004</v>
      </c>
      <c r="K55" s="59">
        <f t="shared" ref="K55:K57" si="42">+G55*C55</f>
        <v>92.796000000000006</v>
      </c>
      <c r="L55" s="48">
        <f t="shared" ref="L55:L57" si="43">+H55*C55</f>
        <v>144.89200000000002</v>
      </c>
      <c r="M55" s="48">
        <f t="shared" ref="M55:M57" si="44">IF(D55=0," ",(I55*C55))</f>
        <v>13.919400000000005</v>
      </c>
      <c r="N55" s="203">
        <f t="shared" ref="N55:N57" si="45">IF(D55=0," ",(J55*C55))</f>
        <v>21.733800000000006</v>
      </c>
    </row>
    <row r="56" spans="1:16" s="21" customFormat="1" ht="18" x14ac:dyDescent="0.35">
      <c r="A56" s="75"/>
      <c r="B56" s="153"/>
      <c r="C56" s="146"/>
      <c r="D56" s="51"/>
      <c r="E56" s="48"/>
      <c r="F56" s="203"/>
      <c r="G56" s="59"/>
      <c r="H56" s="48"/>
      <c r="I56" s="48"/>
      <c r="J56" s="203"/>
      <c r="K56" s="59"/>
      <c r="L56" s="48"/>
      <c r="M56" s="48"/>
      <c r="N56" s="203"/>
    </row>
    <row r="57" spans="1:16" s="21" customFormat="1" ht="18" x14ac:dyDescent="0.35">
      <c r="A57" s="75">
        <f>IF(F57&lt;&gt;"",(LARGE(A$7:A55,1)+1),"")</f>
        <v>19</v>
      </c>
      <c r="B57" s="153" t="s">
        <v>318</v>
      </c>
      <c r="C57" s="146">
        <v>3.3</v>
      </c>
      <c r="D57" s="51" t="s">
        <v>13</v>
      </c>
      <c r="E57" s="48">
        <f t="shared" ref="E57" si="46">G57+H57</f>
        <v>24.9</v>
      </c>
      <c r="F57" s="203">
        <f t="shared" si="41"/>
        <v>82.169999999999987</v>
      </c>
      <c r="G57" s="59">
        <v>9.5</v>
      </c>
      <c r="H57" s="48">
        <v>15.4</v>
      </c>
      <c r="I57" s="48">
        <f>IF(D57=0," ",(G57)*(Details!$C$4+Details!$C$8))</f>
        <v>1.4250000000000003</v>
      </c>
      <c r="J57" s="203">
        <f>IF(D57=0," ",(H57)*(Details!$C$6+Details!$C$8))</f>
        <v>2.3100000000000005</v>
      </c>
      <c r="K57" s="59">
        <f t="shared" si="42"/>
        <v>31.349999999999998</v>
      </c>
      <c r="L57" s="48">
        <f t="shared" si="43"/>
        <v>50.82</v>
      </c>
      <c r="M57" s="48">
        <f t="shared" si="44"/>
        <v>4.7025000000000006</v>
      </c>
      <c r="N57" s="203">
        <f t="shared" si="45"/>
        <v>7.6230000000000011</v>
      </c>
    </row>
    <row r="58" spans="1:16" s="21" customFormat="1" ht="18" x14ac:dyDescent="0.35">
      <c r="A58" s="75" t="str">
        <f>IF(F58&lt;&gt;"",(LARGE(A$7:A57,1)+1),"")</f>
        <v/>
      </c>
      <c r="B58" s="153"/>
      <c r="C58" s="146"/>
      <c r="D58" s="51"/>
      <c r="E58" s="48"/>
      <c r="F58" s="203"/>
      <c r="G58" s="48"/>
      <c r="H58" s="48"/>
      <c r="I58" s="48"/>
      <c r="J58" s="203"/>
      <c r="K58" s="15"/>
      <c r="L58" s="20"/>
      <c r="M58" s="20"/>
      <c r="N58" s="203"/>
    </row>
    <row r="59" spans="1:16" s="21" customFormat="1" ht="18" x14ac:dyDescent="0.35">
      <c r="A59" s="75" t="str">
        <f>IF(F59&lt;&gt;"",(LARGE(A$7:A58,1)+1),"")</f>
        <v/>
      </c>
      <c r="B59" s="168" t="s">
        <v>319</v>
      </c>
      <c r="C59" s="146"/>
      <c r="D59" s="51"/>
      <c r="E59" s="48"/>
      <c r="F59" s="203"/>
      <c r="G59" s="48"/>
      <c r="H59" s="48"/>
      <c r="I59" s="48"/>
      <c r="J59" s="203"/>
      <c r="K59" s="15"/>
      <c r="L59" s="20"/>
      <c r="M59" s="20"/>
      <c r="N59" s="203"/>
    </row>
    <row r="60" spans="1:16" s="21" customFormat="1" ht="18" x14ac:dyDescent="0.35">
      <c r="A60" s="75">
        <f>IF(F60&lt;&gt;"",(LARGE(A$7:A59,1)+1),"")</f>
        <v>20</v>
      </c>
      <c r="B60" s="153" t="s">
        <v>320</v>
      </c>
      <c r="C60" s="146">
        <v>6</v>
      </c>
      <c r="D60" s="51" t="s">
        <v>263</v>
      </c>
      <c r="E60" s="48">
        <f t="shared" ref="E60" si="47">G60+H60</f>
        <v>400</v>
      </c>
      <c r="F60" s="203">
        <f t="shared" ref="F60" si="48">E60*C60</f>
        <v>2400</v>
      </c>
      <c r="G60" s="59">
        <v>80</v>
      </c>
      <c r="H60" s="48">
        <v>320</v>
      </c>
      <c r="I60" s="48">
        <f>IF(D60=0," ",(G60)*(Details!$C$4+Details!$C$8))</f>
        <v>12.000000000000002</v>
      </c>
      <c r="J60" s="203">
        <f>IF(D60=0," ",(H60)*(Details!$C$6+Details!$C$8))</f>
        <v>48.000000000000007</v>
      </c>
      <c r="K60" s="59">
        <f t="shared" ref="K60" si="49">+G60*C60</f>
        <v>480</v>
      </c>
      <c r="L60" s="48">
        <f t="shared" ref="L60" si="50">+H60*C60</f>
        <v>1920</v>
      </c>
      <c r="M60" s="48">
        <f t="shared" ref="M60" si="51">IF(D60=0," ",(I60*C60))</f>
        <v>72.000000000000014</v>
      </c>
      <c r="N60" s="203">
        <f t="shared" ref="N60" si="52">IF(D60=0," ",(J60*C60))</f>
        <v>288.00000000000006</v>
      </c>
    </row>
    <row r="61" spans="1:16" s="21" customFormat="1" ht="18" x14ac:dyDescent="0.35">
      <c r="A61" s="75" t="str">
        <f>IF(F61&lt;&gt;"",(LARGE(A$7:A60,1)+1),"")</f>
        <v/>
      </c>
      <c r="B61" s="153"/>
      <c r="C61" s="146"/>
      <c r="D61" s="51"/>
      <c r="E61" s="48"/>
      <c r="F61" s="203"/>
      <c r="G61" s="48"/>
      <c r="H61" s="48"/>
      <c r="I61" s="48"/>
      <c r="J61" s="203"/>
      <c r="K61" s="15"/>
      <c r="L61" s="20"/>
      <c r="M61" s="20"/>
      <c r="N61" s="203"/>
    </row>
    <row r="62" spans="1:16" s="21" customFormat="1" ht="18" x14ac:dyDescent="0.35">
      <c r="A62" s="75" t="str">
        <f>IF(F62&lt;&gt;"",(LARGE(A$7:A61,1)+1),"")</f>
        <v/>
      </c>
      <c r="B62" s="168" t="s">
        <v>321</v>
      </c>
      <c r="C62" s="146"/>
      <c r="D62" s="51"/>
      <c r="E62" s="48"/>
      <c r="F62" s="203"/>
      <c r="G62" s="48"/>
      <c r="H62" s="48"/>
      <c r="I62" s="48"/>
      <c r="J62" s="203"/>
      <c r="K62" s="15"/>
      <c r="L62" s="20"/>
      <c r="M62" s="20"/>
      <c r="N62" s="203"/>
    </row>
    <row r="63" spans="1:16" s="21" customFormat="1" ht="18" x14ac:dyDescent="0.35">
      <c r="A63" s="75">
        <f>IF(F63&lt;&gt;"",(LARGE(A$7:A62,1)+1),"")</f>
        <v>21</v>
      </c>
      <c r="B63" s="153" t="s">
        <v>322</v>
      </c>
      <c r="C63" s="146">
        <v>1</v>
      </c>
      <c r="D63" s="51" t="s">
        <v>263</v>
      </c>
      <c r="E63" s="48">
        <f t="shared" ref="E63" si="53">G63+H63</f>
        <v>370</v>
      </c>
      <c r="F63" s="203">
        <f t="shared" ref="F63" si="54">E63*C63</f>
        <v>370</v>
      </c>
      <c r="G63" s="59">
        <v>100</v>
      </c>
      <c r="H63" s="48">
        <v>270</v>
      </c>
      <c r="I63" s="48">
        <f>IF(D63=0," ",(G63)*(Details!$C$4+Details!$C$8))</f>
        <v>15.000000000000002</v>
      </c>
      <c r="J63" s="203">
        <f>IF(D63=0," ",(H63)*(Details!$C$6+Details!$C$8))</f>
        <v>40.500000000000007</v>
      </c>
      <c r="K63" s="59">
        <f t="shared" ref="K63" si="55">+G63*C63</f>
        <v>100</v>
      </c>
      <c r="L63" s="48">
        <f t="shared" ref="L63" si="56">+H63*C63</f>
        <v>270</v>
      </c>
      <c r="M63" s="48">
        <f t="shared" ref="M63" si="57">IF(D63=0," ",(I63*C63))</f>
        <v>15.000000000000002</v>
      </c>
      <c r="N63" s="203">
        <f t="shared" ref="N63" si="58">IF(D63=0," ",(J63*C63))</f>
        <v>40.500000000000007</v>
      </c>
    </row>
    <row r="64" spans="1:16" s="21" customFormat="1" ht="18" x14ac:dyDescent="0.35">
      <c r="A64" s="75" t="str">
        <f>IF(F64&lt;&gt;"",(LARGE(A$7:A63,1)+1),"")</f>
        <v/>
      </c>
      <c r="B64" s="153"/>
      <c r="C64" s="146"/>
      <c r="D64" s="51"/>
      <c r="E64" s="48"/>
      <c r="F64" s="203"/>
      <c r="G64" s="59"/>
      <c r="H64" s="48"/>
      <c r="I64" s="48"/>
      <c r="J64" s="203"/>
      <c r="K64" s="218"/>
      <c r="L64" s="20"/>
      <c r="M64" s="20"/>
      <c r="N64" s="203"/>
      <c r="P64" s="72" t="s">
        <v>142</v>
      </c>
    </row>
    <row r="65" spans="1:16" s="21" customFormat="1" ht="18.600000000000001" thickBot="1" x14ac:dyDescent="0.4">
      <c r="A65" s="49"/>
      <c r="B65" s="164"/>
      <c r="C65" s="146"/>
      <c r="D65" s="60"/>
      <c r="E65" s="62" t="s">
        <v>115</v>
      </c>
      <c r="F65" s="204">
        <f>SUM(F1:F64)</f>
        <v>16830.696000000004</v>
      </c>
      <c r="G65" s="59"/>
      <c r="H65" s="48"/>
      <c r="I65" s="48"/>
      <c r="J65" s="203" t="str">
        <f>IF(D65=0," ",(G65+H65)*(Details!$C$4+Details!$C$6))</f>
        <v xml:space="preserve"> </v>
      </c>
      <c r="K65" s="252">
        <f>SUM(K8:K64)</f>
        <v>5730.6235000000006</v>
      </c>
      <c r="L65" s="253">
        <f>SUM(L8:L64)</f>
        <v>11100.072500000002</v>
      </c>
      <c r="M65" s="253">
        <f>SUM(M8:M64)</f>
        <v>859.59352500000023</v>
      </c>
      <c r="N65" s="204">
        <f>SUM(N8:N64)</f>
        <v>1665.0108750000006</v>
      </c>
      <c r="P65" s="72">
        <f>+F65-K65-L65-N65-M65</f>
        <v>-2524.6044000000011</v>
      </c>
    </row>
    <row r="66" spans="1:16" s="21" customFormat="1" ht="19.2" thickTop="1" thickBot="1" x14ac:dyDescent="0.4">
      <c r="A66" s="157" t="str">
        <f>IF(D66=0," ",(LARGE(A$9:A65,1)+1))</f>
        <v xml:space="preserve"> </v>
      </c>
      <c r="B66" s="166"/>
      <c r="C66" s="159"/>
      <c r="D66" s="63"/>
      <c r="E66" s="65"/>
      <c r="F66" s="205"/>
      <c r="G66" s="66"/>
      <c r="H66" s="65"/>
      <c r="I66" s="65"/>
      <c r="J66" s="67" t="str">
        <f>IF(D66=0," ",(G66+H66)*(Details!$C$4+Details!$C$6))</f>
        <v xml:space="preserve"> </v>
      </c>
      <c r="K66" s="231"/>
      <c r="L66" s="231"/>
      <c r="M66" s="231"/>
      <c r="N66" s="191"/>
      <c r="P66" s="55"/>
    </row>
  </sheetData>
  <mergeCells count="2">
    <mergeCell ref="G5:J5"/>
    <mergeCell ref="K5:N5"/>
  </mergeCells>
  <conditionalFormatting sqref="G8:G10561">
    <cfRule type="notContainsBlanks" dxfId="99" priority="1">
      <formula>LEN(TRIM(G8))&gt;0</formula>
    </cfRule>
  </conditionalFormatting>
  <conditionalFormatting sqref="H12:H63">
    <cfRule type="notContainsBlanks" dxfId="98" priority="2">
      <formula>LEN(TRIM(H12))&gt;0</formula>
    </cfRule>
  </conditionalFormatting>
  <conditionalFormatting sqref="H8:I11 H64:I10461">
    <cfRule type="notContainsBlanks" dxfId="97" priority="101">
      <formula>LEN(TRIM(H8))&gt;0</formula>
    </cfRule>
  </conditionalFormatting>
  <conditionalFormatting sqref="P65">
    <cfRule type="cellIs" dxfId="96" priority="105" operator="equal">
      <formula>0</formula>
    </cfRule>
    <cfRule type="cellIs" dxfId="95" priority="106" operator="notBetween">
      <formula>-0.01</formula>
      <formula>0.01</formula>
    </cfRule>
  </conditionalFormatting>
  <printOptions horizontalCentered="1"/>
  <pageMargins left="0.70866141732283461" right="0.70866141732283461" top="0.31496062992125984" bottom="0.55118110236220474" header="0.31496062992125984" footer="0.31496062992125984"/>
  <pageSetup paperSize="9" scale="62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>
    <pageSetUpPr fitToPage="1"/>
  </sheetPr>
  <dimension ref="A1:AO24"/>
  <sheetViews>
    <sheetView zoomScale="91" zoomScaleNormal="55" workbookViewId="0">
      <selection activeCell="F11" sqref="F11"/>
    </sheetView>
  </sheetViews>
  <sheetFormatPr defaultColWidth="9.109375" defaultRowHeight="15.6" x14ac:dyDescent="0.3"/>
  <cols>
    <col min="1" max="1" width="5.44140625" style="16" customWidth="1"/>
    <col min="2" max="2" width="80.77734375" style="21" customWidth="1"/>
    <col min="3" max="3" width="12.44140625" style="32" customWidth="1"/>
    <col min="4" max="4" width="8.6640625" style="16" customWidth="1"/>
    <col min="5" max="6" width="15.6640625" style="20" customWidth="1"/>
    <col min="7" max="9" width="14.33203125" style="20" customWidth="1"/>
    <col min="10" max="10" width="14.33203125" style="16" customWidth="1"/>
    <col min="11" max="14" width="15.6640625" style="20" customWidth="1"/>
    <col min="15" max="15" width="10.44140625" style="16" bestFit="1" customWidth="1"/>
    <col min="16" max="16" width="10.33203125" style="16" bestFit="1" customWidth="1"/>
    <col min="17" max="25" width="9.109375" style="16"/>
    <col min="26" max="41" width="9.109375" style="16" hidden="1" customWidth="1"/>
    <col min="42" max="16384" width="9.109375" style="16"/>
  </cols>
  <sheetData>
    <row r="1" spans="1:40" x14ac:dyDescent="0.3">
      <c r="A1" s="29"/>
      <c r="B1" s="23"/>
      <c r="C1" s="31"/>
      <c r="D1" s="24"/>
      <c r="E1" s="33"/>
      <c r="F1" s="34"/>
      <c r="G1" s="33"/>
      <c r="H1" s="33"/>
      <c r="I1" s="33"/>
      <c r="J1" s="24"/>
    </row>
    <row r="2" spans="1:40" x14ac:dyDescent="0.3">
      <c r="A2" s="15"/>
      <c r="B2" s="3" t="str">
        <f>+'Qual, Excl &amp; Assum'!B2</f>
        <v>PROJECT: Mr &amp; Mrs Hawkes-Cowands House</v>
      </c>
      <c r="F2" s="35"/>
    </row>
    <row r="3" spans="1:40" x14ac:dyDescent="0.3">
      <c r="A3" s="15"/>
      <c r="B3" s="53" t="str">
        <f>+'Qual, Excl &amp; Assum'!B3</f>
        <v>DATE: 25TH SEPTEMBER 2025</v>
      </c>
      <c r="F3" s="35"/>
    </row>
    <row r="4" spans="1:40" s="21" customFormat="1" ht="16.2" thickBot="1" x14ac:dyDescent="0.35">
      <c r="A4" s="15"/>
      <c r="B4" s="22"/>
      <c r="C4" s="32"/>
      <c r="E4" s="36"/>
      <c r="F4" s="37"/>
      <c r="G4" s="36"/>
      <c r="H4" s="36"/>
      <c r="I4" s="36"/>
      <c r="K4" s="20"/>
      <c r="L4" s="20"/>
      <c r="M4" s="20"/>
      <c r="N4" s="20"/>
    </row>
    <row r="5" spans="1:40" s="21" customFormat="1" ht="38.25" customHeight="1" thickBot="1" x14ac:dyDescent="0.35">
      <c r="A5" s="210"/>
      <c r="B5" s="211" t="s">
        <v>114</v>
      </c>
      <c r="C5" s="212"/>
      <c r="D5" s="213"/>
      <c r="E5" s="214"/>
      <c r="F5" s="220"/>
      <c r="G5" s="370" t="s">
        <v>138</v>
      </c>
      <c r="H5" s="371"/>
      <c r="I5" s="371"/>
      <c r="J5" s="372"/>
      <c r="K5" s="370" t="s">
        <v>139</v>
      </c>
      <c r="L5" s="371"/>
      <c r="M5" s="371"/>
      <c r="N5" s="372"/>
    </row>
    <row r="6" spans="1:40" s="21" customFormat="1" ht="18" x14ac:dyDescent="0.35">
      <c r="A6" s="49"/>
      <c r="B6" s="38"/>
      <c r="C6" s="146"/>
      <c r="D6" s="38"/>
      <c r="E6" s="64"/>
      <c r="F6" s="201"/>
      <c r="G6" s="255"/>
      <c r="H6" s="64"/>
      <c r="I6" s="64"/>
      <c r="J6" s="206"/>
      <c r="K6" s="218"/>
      <c r="L6" s="20"/>
      <c r="M6" s="20"/>
      <c r="N6" s="35"/>
    </row>
    <row r="7" spans="1:40" s="21" customFormat="1" ht="18" x14ac:dyDescent="0.35">
      <c r="A7" s="49"/>
      <c r="B7" s="3" t="s">
        <v>3</v>
      </c>
      <c r="C7" s="263" t="s">
        <v>8</v>
      </c>
      <c r="D7" s="264" t="s">
        <v>2</v>
      </c>
      <c r="E7" s="54" t="s">
        <v>1</v>
      </c>
      <c r="F7" s="265" t="s">
        <v>0</v>
      </c>
      <c r="G7" s="266" t="s">
        <v>34</v>
      </c>
      <c r="H7" s="266" t="s">
        <v>35</v>
      </c>
      <c r="I7" s="266" t="s">
        <v>177</v>
      </c>
      <c r="J7" s="267" t="s">
        <v>178</v>
      </c>
      <c r="K7" s="266" t="s">
        <v>34</v>
      </c>
      <c r="L7" s="266" t="s">
        <v>35</v>
      </c>
      <c r="M7" s="266" t="s">
        <v>177</v>
      </c>
      <c r="N7" s="267" t="s">
        <v>178</v>
      </c>
    </row>
    <row r="8" spans="1:40" s="21" customFormat="1" ht="18" x14ac:dyDescent="0.35">
      <c r="A8" s="75" t="str">
        <f>IF(F8&lt;&gt;"",(LARGE(A$7:A7,1)+1),"")</f>
        <v/>
      </c>
      <c r="B8" s="153"/>
      <c r="C8" s="154"/>
      <c r="D8" s="51"/>
      <c r="E8" s="48"/>
      <c r="F8" s="203"/>
      <c r="G8" s="59"/>
      <c r="H8" s="48"/>
      <c r="I8" s="48"/>
      <c r="J8" s="203" t="str">
        <f>IF(D8=0," ",(G8+H8)*(Details!$C$4))</f>
        <v xml:space="preserve"> </v>
      </c>
      <c r="K8" s="218"/>
      <c r="L8" s="20"/>
      <c r="M8" s="20"/>
      <c r="N8" s="203" t="str">
        <f t="shared" ref="N8" si="0">IF(D8=0," ",(J8*C8))</f>
        <v xml:space="preserve"> </v>
      </c>
    </row>
    <row r="9" spans="1:40" s="21" customFormat="1" ht="18" x14ac:dyDescent="0.35">
      <c r="A9" s="75" t="str">
        <f>IF(F9&lt;&gt;"",(LARGE(A$7:A8,1)+1),"")</f>
        <v/>
      </c>
      <c r="B9" s="168" t="s">
        <v>69</v>
      </c>
      <c r="C9" s="149"/>
      <c r="D9" s="61"/>
      <c r="E9" s="62"/>
      <c r="F9" s="202"/>
      <c r="G9" s="59"/>
      <c r="H9" s="48"/>
      <c r="I9" s="48"/>
      <c r="J9" s="203"/>
      <c r="K9" s="218"/>
      <c r="L9" s="221"/>
      <c r="M9" s="221"/>
      <c r="N9" s="203"/>
      <c r="Z9" s="21" t="str">
        <f>IF(F9&lt;&gt;"",(LARGE(A$7:A8,1)+1),"")</f>
        <v/>
      </c>
      <c r="AA9" s="21" t="s">
        <v>69</v>
      </c>
    </row>
    <row r="10" spans="1:40" s="21" customFormat="1" ht="18" x14ac:dyDescent="0.35">
      <c r="A10" s="75" t="str">
        <f>IF(F10&lt;&gt;"",(LARGE(A$7:A9,1)+1),"")</f>
        <v/>
      </c>
      <c r="B10" s="168" t="s">
        <v>323</v>
      </c>
      <c r="C10" s="149"/>
      <c r="D10" s="61"/>
      <c r="E10" s="62"/>
      <c r="F10" s="202"/>
      <c r="G10" s="59"/>
      <c r="H10" s="48"/>
      <c r="I10" s="48"/>
      <c r="J10" s="203"/>
      <c r="K10" s="218"/>
      <c r="L10" s="169"/>
      <c r="M10" s="169"/>
      <c r="N10" s="203"/>
      <c r="O10" s="20"/>
      <c r="Z10" s="21" t="str">
        <f>IF(F10&lt;&gt;"",(LARGE(A$7:A9,1)+1),"")</f>
        <v/>
      </c>
      <c r="AN10" s="21" t="s">
        <v>93</v>
      </c>
    </row>
    <row r="11" spans="1:40" s="21" customFormat="1" ht="18" x14ac:dyDescent="0.35">
      <c r="A11" s="75">
        <v>1</v>
      </c>
      <c r="B11" s="38" t="s">
        <v>324</v>
      </c>
      <c r="C11" s="146">
        <v>18.77</v>
      </c>
      <c r="D11" s="51" t="s">
        <v>13</v>
      </c>
      <c r="E11" s="48">
        <f>G11+H11</f>
        <v>33.200000000000003</v>
      </c>
      <c r="F11" s="203">
        <f>E11*C11</f>
        <v>623.16399999999999</v>
      </c>
      <c r="G11" s="59">
        <v>13.4</v>
      </c>
      <c r="H11" s="48">
        <v>19.8</v>
      </c>
      <c r="I11" s="48">
        <f>IF(D11=0," ",(G11)*(Details!$C$4+Details!$C$8))</f>
        <v>2.0100000000000002</v>
      </c>
      <c r="J11" s="203">
        <f>IF(D11=0," ",(H11)*(Details!$C$6+Details!$C$8))</f>
        <v>2.9700000000000006</v>
      </c>
      <c r="K11" s="59">
        <f>+G11*C11</f>
        <v>251.518</v>
      </c>
      <c r="L11" s="48">
        <f>+H11*C11</f>
        <v>371.64600000000002</v>
      </c>
      <c r="M11" s="48">
        <f>IF(D11=0," ",(I11*C11))</f>
        <v>37.727700000000006</v>
      </c>
      <c r="N11" s="203">
        <f>IF(D11=0," ",(J11*C11))</f>
        <v>55.746900000000011</v>
      </c>
      <c r="O11" s="16"/>
      <c r="Z11" s="21">
        <v>1</v>
      </c>
      <c r="AC11" s="21" t="s">
        <v>13</v>
      </c>
      <c r="AD11" s="333">
        <f>G11+H11+J11+I11</f>
        <v>38.18</v>
      </c>
      <c r="AE11" s="333">
        <f>E11*C11</f>
        <v>623.16399999999999</v>
      </c>
      <c r="AF11" s="333">
        <f>O11*1.75*Details!$M$36</f>
        <v>0</v>
      </c>
      <c r="AG11" s="333">
        <f>O11*3+500/1000*O11*C11</f>
        <v>0</v>
      </c>
      <c r="AH11" s="333">
        <f>IF(D11=0," ",(G11)*(Details!$C$4+Details!$C$8))</f>
        <v>2.0100000000000002</v>
      </c>
      <c r="AI11" s="333">
        <f>IF(D11=0," ",(H11)*(Details!$C$6+Details!$C$8))</f>
        <v>2.9700000000000006</v>
      </c>
      <c r="AJ11" s="333">
        <f>+G11*C11</f>
        <v>251.518</v>
      </c>
      <c r="AK11" s="333">
        <f>+H11*C11</f>
        <v>371.64600000000002</v>
      </c>
      <c r="AL11" s="333">
        <f>IF(D11=0," ",(I11*C11))</f>
        <v>37.727700000000006</v>
      </c>
      <c r="AM11" s="333">
        <f>IF(D11=0," ",(J11*C11))</f>
        <v>55.746900000000011</v>
      </c>
      <c r="AN11" s="21">
        <v>0</v>
      </c>
    </row>
    <row r="12" spans="1:40" s="21" customFormat="1" ht="18" x14ac:dyDescent="0.35">
      <c r="A12" s="75"/>
      <c r="B12" s="38"/>
      <c r="C12" s="146"/>
      <c r="D12" s="51"/>
      <c r="E12" s="48"/>
      <c r="F12" s="203"/>
      <c r="G12" s="59"/>
      <c r="H12" s="48"/>
      <c r="I12" s="48"/>
      <c r="J12" s="203"/>
      <c r="K12" s="59"/>
      <c r="L12" s="48"/>
      <c r="M12" s="48"/>
      <c r="N12" s="203"/>
      <c r="O12" s="16"/>
      <c r="AD12" s="333"/>
      <c r="AE12" s="333"/>
      <c r="AF12" s="333"/>
      <c r="AG12" s="333"/>
      <c r="AH12" s="333"/>
      <c r="AI12" s="333"/>
      <c r="AJ12" s="333"/>
      <c r="AK12" s="333"/>
      <c r="AL12" s="333"/>
      <c r="AM12" s="333"/>
    </row>
    <row r="13" spans="1:40" s="21" customFormat="1" ht="18" x14ac:dyDescent="0.35">
      <c r="A13" s="75">
        <v>2</v>
      </c>
      <c r="B13" s="38" t="s">
        <v>325</v>
      </c>
      <c r="C13" s="146">
        <v>6.8</v>
      </c>
      <c r="D13" s="51" t="s">
        <v>13</v>
      </c>
      <c r="E13" s="48">
        <f t="shared" ref="E13:E17" si="1">G13+H13</f>
        <v>39.200000000000003</v>
      </c>
      <c r="F13" s="203">
        <f>E13*C13</f>
        <v>266.56</v>
      </c>
      <c r="G13" s="59">
        <v>15.8</v>
      </c>
      <c r="H13" s="48">
        <v>23.4</v>
      </c>
      <c r="I13" s="48">
        <f>IF(D13=0," ",(G13)*(Details!$C$4+Details!$C$8))</f>
        <v>2.3700000000000006</v>
      </c>
      <c r="J13" s="203">
        <f>IF(D13=0," ",(H13)*(Details!$C$6+Details!$C$8))</f>
        <v>3.5100000000000002</v>
      </c>
      <c r="K13" s="59">
        <f>+G13*C13</f>
        <v>107.44</v>
      </c>
      <c r="L13" s="48">
        <f>+H13*C13</f>
        <v>159.11999999999998</v>
      </c>
      <c r="M13" s="48">
        <f>IF(D13=0," ",(I13*C13))</f>
        <v>16.116000000000003</v>
      </c>
      <c r="N13" s="203">
        <f>IF(D13=0," ",(J13*C13))</f>
        <v>23.868000000000002</v>
      </c>
      <c r="O13" s="16"/>
      <c r="Z13" s="21">
        <f>IF(F13&lt;&gt;"",(LARGE(A$7:A11,1)+1),"")</f>
        <v>2</v>
      </c>
    </row>
    <row r="14" spans="1:40" s="21" customFormat="1" ht="18" x14ac:dyDescent="0.35">
      <c r="A14" s="75"/>
      <c r="B14" s="38"/>
      <c r="C14" s="146"/>
      <c r="D14" s="51"/>
      <c r="E14" s="48"/>
      <c r="F14" s="203"/>
      <c r="G14" s="59"/>
      <c r="H14" s="48"/>
      <c r="I14" s="48"/>
      <c r="J14" s="203"/>
      <c r="K14" s="59"/>
      <c r="L14" s="48"/>
      <c r="M14" s="48"/>
      <c r="N14" s="203"/>
      <c r="O14" s="16"/>
    </row>
    <row r="15" spans="1:40" s="21" customFormat="1" ht="18" x14ac:dyDescent="0.35">
      <c r="A15" s="75">
        <v>3</v>
      </c>
      <c r="B15" s="38" t="s">
        <v>326</v>
      </c>
      <c r="C15" s="146">
        <v>4.6100000000000003</v>
      </c>
      <c r="D15" s="51" t="s">
        <v>13</v>
      </c>
      <c r="E15" s="48">
        <f t="shared" si="1"/>
        <v>41.7</v>
      </c>
      <c r="F15" s="203">
        <f>E15*C15</f>
        <v>192.23700000000002</v>
      </c>
      <c r="G15" s="59">
        <v>16.2</v>
      </c>
      <c r="H15" s="48">
        <v>25.5</v>
      </c>
      <c r="I15" s="48">
        <f>IF(D15=0," ",(G15)*(Details!$C$4+Details!$C$8))</f>
        <v>2.4300000000000002</v>
      </c>
      <c r="J15" s="203">
        <f>IF(D15=0," ",(H15)*(Details!$C$6+Details!$C$8))</f>
        <v>3.8250000000000006</v>
      </c>
      <c r="K15" s="59">
        <f>+G15*C15</f>
        <v>74.682000000000002</v>
      </c>
      <c r="L15" s="48">
        <f>+H15*C15</f>
        <v>117.55500000000001</v>
      </c>
      <c r="M15" s="48">
        <f>IF(D15=0," ",(I15*C15))</f>
        <v>11.202300000000001</v>
      </c>
      <c r="N15" s="203">
        <f>IF(D15=0," ",(J15*C15))</f>
        <v>17.633250000000004</v>
      </c>
      <c r="O15" s="16"/>
    </row>
    <row r="16" spans="1:40" s="21" customFormat="1" ht="18" x14ac:dyDescent="0.35">
      <c r="A16" s="75"/>
      <c r="B16" s="38"/>
      <c r="C16" s="146"/>
      <c r="D16" s="51"/>
      <c r="E16" s="48"/>
      <c r="F16" s="203"/>
      <c r="G16" s="59"/>
      <c r="H16" s="48"/>
      <c r="I16" s="48"/>
      <c r="J16" s="203"/>
      <c r="K16" s="59"/>
      <c r="L16" s="48"/>
      <c r="M16" s="48"/>
      <c r="N16" s="203"/>
      <c r="O16" s="16"/>
    </row>
    <row r="17" spans="1:16" s="21" customFormat="1" ht="18" x14ac:dyDescent="0.35">
      <c r="A17" s="75">
        <v>4</v>
      </c>
      <c r="B17" s="38" t="s">
        <v>327</v>
      </c>
      <c r="C17" s="146">
        <v>4.2300000000000004</v>
      </c>
      <c r="D17" s="51" t="s">
        <v>13</v>
      </c>
      <c r="E17" s="48">
        <f t="shared" si="1"/>
        <v>41.7</v>
      </c>
      <c r="F17" s="203">
        <f>E17*C17</f>
        <v>176.39100000000002</v>
      </c>
      <c r="G17" s="59">
        <v>16.2</v>
      </c>
      <c r="H17" s="48">
        <v>25.5</v>
      </c>
      <c r="I17" s="48">
        <f>IF(D17=0," ",(G17)*(Details!$C$4+Details!$C$8))</f>
        <v>2.4300000000000002</v>
      </c>
      <c r="J17" s="203">
        <f>IF(D17=0," ",(H17)*(Details!$C$6+Details!$C$8))</f>
        <v>3.8250000000000006</v>
      </c>
      <c r="K17" s="59">
        <f>+G17*C17</f>
        <v>68.52600000000001</v>
      </c>
      <c r="L17" s="48">
        <f>+H17*C17</f>
        <v>107.86500000000001</v>
      </c>
      <c r="M17" s="48">
        <f>IF(D17=0," ",(I17*C17))</f>
        <v>10.278900000000002</v>
      </c>
      <c r="N17" s="203">
        <f>IF(D17=0," ",(J17*C17))</f>
        <v>16.179750000000006</v>
      </c>
      <c r="O17" s="16"/>
    </row>
    <row r="18" spans="1:16" s="21" customFormat="1" ht="18" x14ac:dyDescent="0.35">
      <c r="A18" s="75"/>
      <c r="B18" s="38"/>
      <c r="C18" s="146"/>
      <c r="D18" s="51"/>
      <c r="E18" s="48"/>
      <c r="F18" s="203"/>
      <c r="G18" s="59"/>
      <c r="H18" s="48"/>
      <c r="I18" s="48"/>
      <c r="J18" s="203"/>
      <c r="K18" s="59"/>
      <c r="L18" s="48"/>
      <c r="M18" s="48"/>
      <c r="N18" s="203"/>
      <c r="O18" s="16"/>
    </row>
    <row r="19" spans="1:16" s="21" customFormat="1" ht="18" x14ac:dyDescent="0.35">
      <c r="A19" s="75"/>
      <c r="B19" s="168" t="s">
        <v>328</v>
      </c>
      <c r="C19" s="146"/>
      <c r="D19" s="51"/>
      <c r="E19" s="48"/>
      <c r="F19" s="203"/>
      <c r="G19" s="59"/>
      <c r="H19" s="48"/>
      <c r="I19" s="48"/>
      <c r="J19" s="203"/>
      <c r="K19" s="15"/>
      <c r="L19" s="20"/>
      <c r="M19" s="20"/>
      <c r="N19" s="203"/>
      <c r="O19" s="16"/>
    </row>
    <row r="20" spans="1:16" s="21" customFormat="1" ht="18" x14ac:dyDescent="0.35">
      <c r="A20" s="75">
        <v>5</v>
      </c>
      <c r="B20" s="38" t="s">
        <v>329</v>
      </c>
      <c r="C20" s="146">
        <v>1</v>
      </c>
      <c r="D20" s="51" t="s">
        <v>263</v>
      </c>
      <c r="E20" s="48">
        <f>G20+H20</f>
        <v>162</v>
      </c>
      <c r="F20" s="203">
        <f>E20*C20</f>
        <v>162</v>
      </c>
      <c r="G20" s="59">
        <v>60</v>
      </c>
      <c r="H20" s="48">
        <v>102</v>
      </c>
      <c r="I20" s="48">
        <f>IF(D20=0," ",(G20)*(Details!$C$4+Details!$C$8))</f>
        <v>9.0000000000000018</v>
      </c>
      <c r="J20" s="203">
        <f>IF(D20=0," ",(H20)*(Details!$C$6+Details!$C$8))</f>
        <v>15.300000000000002</v>
      </c>
      <c r="K20" s="59">
        <f>+G20*C20</f>
        <v>60</v>
      </c>
      <c r="L20" s="48">
        <f>+H20*C20</f>
        <v>102</v>
      </c>
      <c r="M20" s="48">
        <f>IF(D20=0," ",(I20*C20))</f>
        <v>9.0000000000000018</v>
      </c>
      <c r="N20" s="203">
        <f>IF(D20=0," ",(J20*C20))</f>
        <v>15.300000000000002</v>
      </c>
      <c r="O20" s="16"/>
    </row>
    <row r="21" spans="1:16" s="21" customFormat="1" ht="18" x14ac:dyDescent="0.35">
      <c r="A21" s="75" t="str">
        <f>IF(F21&lt;&gt;"",(LARGE(A$7:A20,1)+1),"")</f>
        <v/>
      </c>
      <c r="B21" s="38"/>
      <c r="C21" s="146"/>
      <c r="D21" s="51"/>
      <c r="E21" s="48"/>
      <c r="F21" s="203"/>
      <c r="G21" s="59"/>
      <c r="H21" s="48"/>
      <c r="I21" s="48"/>
      <c r="J21" s="203"/>
      <c r="K21" s="15"/>
      <c r="L21" s="20"/>
      <c r="M21" s="20"/>
      <c r="N21" s="203"/>
      <c r="O21" s="16"/>
    </row>
    <row r="22" spans="1:16" s="21" customFormat="1" ht="18" x14ac:dyDescent="0.35">
      <c r="A22" s="75" t="str">
        <f>IF(F22&lt;&gt;"",(LARGE(A$7:A21,1)+1),"")</f>
        <v/>
      </c>
      <c r="B22" s="153"/>
      <c r="C22" s="146"/>
      <c r="D22" s="51"/>
      <c r="E22" s="48"/>
      <c r="F22" s="203"/>
      <c r="G22" s="59"/>
      <c r="H22" s="48"/>
      <c r="I22" s="48"/>
      <c r="J22" s="203"/>
      <c r="K22" s="218"/>
      <c r="L22" s="20"/>
      <c r="M22" s="20"/>
      <c r="N22" s="203"/>
      <c r="P22" s="72" t="s">
        <v>142</v>
      </c>
    </row>
    <row r="23" spans="1:16" s="21" customFormat="1" ht="18.600000000000001" thickBot="1" x14ac:dyDescent="0.4">
      <c r="A23" s="49"/>
      <c r="B23" s="164"/>
      <c r="C23" s="146"/>
      <c r="D23" s="60"/>
      <c r="E23" s="62" t="s">
        <v>115</v>
      </c>
      <c r="F23" s="204">
        <f>SUM(F10:F21)</f>
        <v>1420.3520000000001</v>
      </c>
      <c r="G23" s="59"/>
      <c r="H23" s="48"/>
      <c r="I23" s="48"/>
      <c r="J23" s="203" t="str">
        <f>IF(D23=0," ",(G23+H23)*(Details!$C$4+Details!$C$6))</f>
        <v xml:space="preserve"> </v>
      </c>
      <c r="K23" s="252">
        <f>SUM(K5:K22)</f>
        <v>562.16599999999994</v>
      </c>
      <c r="L23" s="253">
        <f>SUM(L5:L22)</f>
        <v>858.18599999999992</v>
      </c>
      <c r="M23" s="253">
        <f>SUM(M5:M22)</f>
        <v>84.324900000000028</v>
      </c>
      <c r="N23" s="204">
        <f>SUM(N5:N22)</f>
        <v>128.72790000000003</v>
      </c>
      <c r="P23" s="72">
        <f>+F23-K23-L23-N23-M23</f>
        <v>-213.05279999999982</v>
      </c>
    </row>
    <row r="24" spans="1:16" s="21" customFormat="1" ht="19.2" thickTop="1" thickBot="1" x14ac:dyDescent="0.4">
      <c r="A24" s="157" t="str">
        <f>IF(D24=0," ",(LARGE(A$8:A23,1)+1))</f>
        <v xml:space="preserve"> </v>
      </c>
      <c r="B24" s="166"/>
      <c r="C24" s="159"/>
      <c r="D24" s="63"/>
      <c r="E24" s="65"/>
      <c r="F24" s="205"/>
      <c r="G24" s="66"/>
      <c r="H24" s="65"/>
      <c r="I24" s="65"/>
      <c r="J24" s="67" t="str">
        <f>IF(D24=0," ",(G24+H24)*(Details!$C$4+Details!$C$6))</f>
        <v xml:space="preserve"> </v>
      </c>
      <c r="K24" s="231"/>
      <c r="L24" s="231"/>
      <c r="M24" s="231"/>
      <c r="N24" s="191"/>
      <c r="P24" s="55"/>
    </row>
  </sheetData>
  <mergeCells count="2">
    <mergeCell ref="G5:J5"/>
    <mergeCell ref="K5:N5"/>
  </mergeCells>
  <conditionalFormatting sqref="G8:G10519">
    <cfRule type="notContainsBlanks" dxfId="94" priority="1">
      <formula>LEN(TRIM(G8))&gt;0</formula>
    </cfRule>
  </conditionalFormatting>
  <conditionalFormatting sqref="H11:H18 H20">
    <cfRule type="notContainsBlanks" dxfId="93" priority="2">
      <formula>LEN(TRIM(H11))&gt;0</formula>
    </cfRule>
  </conditionalFormatting>
  <conditionalFormatting sqref="H8:I10 H19:I19">
    <cfRule type="notContainsBlanks" dxfId="92" priority="92">
      <formula>LEN(TRIM(H8))&gt;0</formula>
    </cfRule>
  </conditionalFormatting>
  <conditionalFormatting sqref="H21:I10419">
    <cfRule type="notContainsBlanks" dxfId="91" priority="85">
      <formula>LEN(TRIM(H21))&gt;0</formula>
    </cfRule>
  </conditionalFormatting>
  <conditionalFormatting sqref="P23">
    <cfRule type="cellIs" dxfId="90" priority="88" operator="equal">
      <formula>0</formula>
    </cfRule>
    <cfRule type="cellIs" dxfId="89" priority="89" operator="notBetween">
      <formula>-0.01</formula>
      <formula>0.01</formula>
    </cfRule>
  </conditionalFormatting>
  <printOptions horizontalCentered="1"/>
  <pageMargins left="0.70866141732283461" right="0.70866141732283461" top="0.31496062992125984" bottom="0.55118110236220474" header="0.31496062992125984" footer="0.31496062992125984"/>
  <pageSetup paperSize="9" scale="62" fitToHeight="0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2289" r:id="rId4" name="SteelworkToggleButton">
              <controlPr defaultSize="0" print="0" autoFill="0" autoPict="0" macro="[0]!ToggleSteelwork">
                <anchor moveWithCells="1">
                  <from>
                    <xdr:col>3</xdr:col>
                    <xdr:colOff>403860</xdr:colOff>
                    <xdr:row>1</xdr:row>
                    <xdr:rowOff>38100</xdr:rowOff>
                  </from>
                  <to>
                    <xdr:col>5</xdr:col>
                    <xdr:colOff>952500</xdr:colOff>
                    <xdr:row>3</xdr:row>
                    <xdr:rowOff>76200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>
    <pageSetUpPr fitToPage="1"/>
  </sheetPr>
  <dimension ref="A1:P55"/>
  <sheetViews>
    <sheetView zoomScale="85" zoomScaleNormal="55" workbookViewId="0">
      <selection activeCell="E10" sqref="E10"/>
    </sheetView>
  </sheetViews>
  <sheetFormatPr defaultColWidth="9.109375" defaultRowHeight="15.6" x14ac:dyDescent="0.3"/>
  <cols>
    <col min="1" max="1" width="5.44140625" style="16" customWidth="1"/>
    <col min="2" max="2" width="80.77734375" style="21" customWidth="1"/>
    <col min="3" max="3" width="12.44140625" style="32" customWidth="1"/>
    <col min="4" max="4" width="8.6640625" style="16" customWidth="1"/>
    <col min="5" max="6" width="15.6640625" style="20" customWidth="1"/>
    <col min="7" max="9" width="14.33203125" style="20" customWidth="1"/>
    <col min="10" max="10" width="14.33203125" style="16" customWidth="1"/>
    <col min="11" max="14" width="15.6640625" style="20" customWidth="1"/>
    <col min="15" max="15" width="10.44140625" style="16" bestFit="1" customWidth="1"/>
    <col min="16" max="16384" width="9.109375" style="16"/>
  </cols>
  <sheetData>
    <row r="1" spans="1:14" x14ac:dyDescent="0.3">
      <c r="A1" s="29"/>
      <c r="B1" s="23"/>
      <c r="C1" s="31"/>
      <c r="D1" s="24"/>
      <c r="E1" s="33"/>
      <c r="F1" s="34"/>
      <c r="G1" s="82"/>
      <c r="H1" s="82"/>
      <c r="I1" s="82"/>
      <c r="J1" s="24"/>
    </row>
    <row r="2" spans="1:14" x14ac:dyDescent="0.3">
      <c r="A2" s="15"/>
      <c r="B2" s="3" t="str">
        <f>+'Qual, Excl &amp; Assum'!B2</f>
        <v>PROJECT: Mr &amp; Mrs Hawkes-Cowands House</v>
      </c>
      <c r="F2" s="35"/>
      <c r="G2" s="72"/>
      <c r="H2" s="72"/>
      <c r="I2" s="72"/>
    </row>
    <row r="3" spans="1:14" x14ac:dyDescent="0.3">
      <c r="A3" s="15"/>
      <c r="B3" s="53" t="str">
        <f>+'Qual, Excl &amp; Assum'!B3</f>
        <v>DATE: 25TH SEPTEMBER 2025</v>
      </c>
      <c r="F3" s="35"/>
      <c r="G3" s="72"/>
      <c r="H3" s="72"/>
      <c r="I3" s="72"/>
    </row>
    <row r="4" spans="1:14" s="21" customFormat="1" ht="16.2" thickBot="1" x14ac:dyDescent="0.35">
      <c r="A4" s="15"/>
      <c r="B4" s="22"/>
      <c r="C4" s="32"/>
      <c r="E4" s="36"/>
      <c r="F4" s="37"/>
      <c r="G4" s="83"/>
      <c r="H4" s="83"/>
      <c r="I4" s="83"/>
      <c r="K4" s="20"/>
      <c r="L4" s="20"/>
      <c r="M4" s="20"/>
      <c r="N4" s="20"/>
    </row>
    <row r="5" spans="1:14" s="21" customFormat="1" ht="37.5" customHeight="1" thickBot="1" x14ac:dyDescent="0.35">
      <c r="A5" s="210"/>
      <c r="B5" s="211" t="s">
        <v>65</v>
      </c>
      <c r="C5" s="212"/>
      <c r="D5" s="213"/>
      <c r="E5" s="214"/>
      <c r="F5" s="220"/>
      <c r="G5" s="371" t="s">
        <v>138</v>
      </c>
      <c r="H5" s="371"/>
      <c r="I5" s="371"/>
      <c r="J5" s="372"/>
      <c r="K5" s="370" t="s">
        <v>139</v>
      </c>
      <c r="L5" s="371"/>
      <c r="M5" s="371"/>
      <c r="N5" s="372"/>
    </row>
    <row r="6" spans="1:14" s="21" customFormat="1" ht="18" x14ac:dyDescent="0.35">
      <c r="A6" s="49"/>
      <c r="B6" s="38"/>
      <c r="C6" s="146"/>
      <c r="D6" s="38"/>
      <c r="E6" s="64"/>
      <c r="F6" s="201"/>
      <c r="G6" s="257"/>
      <c r="H6" s="257"/>
      <c r="I6" s="257"/>
      <c r="J6" s="206"/>
      <c r="K6" s="218"/>
      <c r="L6" s="20"/>
      <c r="M6" s="20"/>
      <c r="N6" s="35"/>
    </row>
    <row r="7" spans="1:14" s="21" customFormat="1" ht="18" x14ac:dyDescent="0.35">
      <c r="A7" s="49"/>
      <c r="B7" s="3" t="s">
        <v>3</v>
      </c>
      <c r="C7" s="263" t="s">
        <v>8</v>
      </c>
      <c r="D7" s="264" t="s">
        <v>2</v>
      </c>
      <c r="E7" s="54" t="s">
        <v>1</v>
      </c>
      <c r="F7" s="265" t="s">
        <v>0</v>
      </c>
      <c r="G7" s="266" t="s">
        <v>34</v>
      </c>
      <c r="H7" s="266" t="s">
        <v>35</v>
      </c>
      <c r="I7" s="266" t="s">
        <v>177</v>
      </c>
      <c r="J7" s="267" t="s">
        <v>178</v>
      </c>
      <c r="K7" s="266" t="s">
        <v>34</v>
      </c>
      <c r="L7" s="266" t="s">
        <v>35</v>
      </c>
      <c r="M7" s="266" t="s">
        <v>177</v>
      </c>
      <c r="N7" s="267" t="s">
        <v>178</v>
      </c>
    </row>
    <row r="8" spans="1:14" s="21" customFormat="1" ht="18" x14ac:dyDescent="0.35">
      <c r="A8" s="49"/>
      <c r="B8" s="160"/>
      <c r="C8" s="149"/>
      <c r="D8" s="61"/>
      <c r="E8" s="62"/>
      <c r="F8" s="202"/>
      <c r="G8" s="59"/>
      <c r="H8" s="48"/>
      <c r="I8" s="48"/>
      <c r="J8" s="207"/>
      <c r="K8" s="218"/>
      <c r="L8" s="20"/>
      <c r="M8" s="20"/>
      <c r="N8" s="203" t="str">
        <f t="shared" ref="N8:N49" si="0">IF(D8=0," ",(J8*C8))</f>
        <v xml:space="preserve"> </v>
      </c>
    </row>
    <row r="9" spans="1:14" s="21" customFormat="1" ht="18" x14ac:dyDescent="0.35">
      <c r="A9" s="49"/>
      <c r="B9" s="168" t="s">
        <v>330</v>
      </c>
      <c r="C9" s="149"/>
      <c r="D9" s="61"/>
      <c r="E9" s="62"/>
      <c r="F9" s="202"/>
      <c r="G9" s="48"/>
      <c r="H9" s="48"/>
      <c r="I9" s="48"/>
      <c r="J9" s="207"/>
      <c r="K9" s="218"/>
      <c r="L9" s="20"/>
      <c r="M9" s="20"/>
      <c r="N9" s="203"/>
    </row>
    <row r="10" spans="1:14" s="21" customFormat="1" ht="18" x14ac:dyDescent="0.35">
      <c r="A10" s="49">
        <v>1</v>
      </c>
      <c r="B10" s="38" t="s">
        <v>331</v>
      </c>
      <c r="C10" s="146">
        <v>32</v>
      </c>
      <c r="D10" s="51" t="s">
        <v>10</v>
      </c>
      <c r="E10" s="48">
        <f>G10+H10</f>
        <v>49.8</v>
      </c>
      <c r="F10" s="203">
        <f>E10*C10</f>
        <v>1593.6</v>
      </c>
      <c r="G10" s="48">
        <v>20</v>
      </c>
      <c r="H10" s="48">
        <v>29.8</v>
      </c>
      <c r="I10" s="48">
        <f>IF(D10=0," ",(G10)*(Details!$C$4+Details!$C$8))</f>
        <v>3.0000000000000004</v>
      </c>
      <c r="J10" s="203">
        <f>IF(D10=0," ",(H10)*(Details!$C$6+Details!$C$8))</f>
        <v>4.4700000000000006</v>
      </c>
      <c r="K10" s="59">
        <f>+G10*C10</f>
        <v>640</v>
      </c>
      <c r="L10" s="48">
        <f>+H10*C10</f>
        <v>953.6</v>
      </c>
      <c r="M10" s="48">
        <f>IF(D10=0," ",(I10*C10))</f>
        <v>96.000000000000014</v>
      </c>
      <c r="N10" s="203">
        <f>IF(D10=0," ",(J10*C10))</f>
        <v>143.04000000000002</v>
      </c>
    </row>
    <row r="11" spans="1:14" s="21" customFormat="1" ht="18" x14ac:dyDescent="0.35">
      <c r="A11" s="49"/>
      <c r="B11" s="38"/>
      <c r="C11" s="149"/>
      <c r="D11" s="61"/>
      <c r="E11" s="48"/>
      <c r="F11" s="203"/>
      <c r="G11" s="48"/>
      <c r="H11" s="48"/>
      <c r="I11" s="48"/>
      <c r="J11" s="207"/>
      <c r="K11" s="218"/>
      <c r="L11" s="20"/>
      <c r="M11" s="20"/>
      <c r="N11" s="203"/>
    </row>
    <row r="12" spans="1:14" s="21" customFormat="1" ht="18" x14ac:dyDescent="0.35">
      <c r="A12" s="49">
        <v>2</v>
      </c>
      <c r="B12" s="38" t="s">
        <v>332</v>
      </c>
      <c r="C12" s="146">
        <v>32</v>
      </c>
      <c r="D12" s="51" t="s">
        <v>10</v>
      </c>
      <c r="E12" s="48">
        <f t="shared" ref="E12:E20" si="1">G12+H12</f>
        <v>25.4</v>
      </c>
      <c r="F12" s="203">
        <f t="shared" ref="F12:F20" si="2">E12*C12</f>
        <v>812.8</v>
      </c>
      <c r="G12" s="48">
        <v>10</v>
      </c>
      <c r="H12" s="48">
        <v>15.4</v>
      </c>
      <c r="I12" s="48">
        <f>IF(D12=0," ",(G12)*(Details!$C$4+Details!$C$8))</f>
        <v>1.5000000000000002</v>
      </c>
      <c r="J12" s="203">
        <f>IF(D12=0," ",(H12)*(Details!$C$6+Details!$C$8))</f>
        <v>2.3100000000000005</v>
      </c>
      <c r="K12" s="59">
        <f>+G12*C12</f>
        <v>320</v>
      </c>
      <c r="L12" s="48">
        <f>+H12*C12</f>
        <v>492.8</v>
      </c>
      <c r="M12" s="48">
        <f>IF(D12=0," ",(I12*C12))</f>
        <v>48.000000000000007</v>
      </c>
      <c r="N12" s="203">
        <f>IF(D12=0," ",(J12*C12))</f>
        <v>73.920000000000016</v>
      </c>
    </row>
    <row r="13" spans="1:14" s="21" customFormat="1" ht="18" x14ac:dyDescent="0.35">
      <c r="A13" s="49"/>
      <c r="B13" s="38"/>
      <c r="C13" s="146"/>
      <c r="D13" s="61"/>
      <c r="E13" s="48"/>
      <c r="F13" s="203"/>
      <c r="G13" s="48"/>
      <c r="H13" s="48"/>
      <c r="I13" s="48"/>
      <c r="J13" s="207"/>
      <c r="K13" s="218"/>
      <c r="L13" s="20"/>
      <c r="M13" s="20"/>
      <c r="N13" s="203"/>
    </row>
    <row r="14" spans="1:14" s="21" customFormat="1" ht="18" x14ac:dyDescent="0.35">
      <c r="A14" s="49">
        <v>3</v>
      </c>
      <c r="B14" s="153" t="s">
        <v>333</v>
      </c>
      <c r="C14" s="146">
        <v>32</v>
      </c>
      <c r="D14" s="51" t="s">
        <v>10</v>
      </c>
      <c r="E14" s="48">
        <f t="shared" si="1"/>
        <v>21.4</v>
      </c>
      <c r="F14" s="203">
        <f t="shared" si="2"/>
        <v>684.8</v>
      </c>
      <c r="G14" s="48">
        <v>8</v>
      </c>
      <c r="H14" s="48">
        <v>13.4</v>
      </c>
      <c r="I14" s="48">
        <f>IF(D14=0," ",(G14)*(Details!$C$4+Details!$C$8))</f>
        <v>1.2000000000000002</v>
      </c>
      <c r="J14" s="203">
        <f>IF(D14=0," ",(H14)*(Details!$C$6+Details!$C$8))</f>
        <v>2.0100000000000002</v>
      </c>
      <c r="K14" s="59">
        <f>+G14*C14</f>
        <v>256</v>
      </c>
      <c r="L14" s="48">
        <f>+H14*C14</f>
        <v>428.8</v>
      </c>
      <c r="M14" s="48">
        <f>IF(D14=0," ",(I14*C14))</f>
        <v>38.400000000000006</v>
      </c>
      <c r="N14" s="203">
        <f>IF(D14=0," ",(J14*C14))</f>
        <v>64.320000000000007</v>
      </c>
    </row>
    <row r="15" spans="1:14" s="21" customFormat="1" ht="18" x14ac:dyDescent="0.35">
      <c r="A15" s="49"/>
      <c r="B15" s="153"/>
      <c r="C15" s="146"/>
      <c r="D15" s="61"/>
      <c r="E15" s="48"/>
      <c r="F15" s="203"/>
      <c r="G15" s="48"/>
      <c r="H15" s="48"/>
      <c r="I15" s="48"/>
      <c r="J15" s="207"/>
      <c r="K15" s="218"/>
      <c r="L15" s="20"/>
      <c r="M15" s="20"/>
      <c r="N15" s="203"/>
    </row>
    <row r="16" spans="1:14" s="21" customFormat="1" ht="18" x14ac:dyDescent="0.35">
      <c r="A16" s="49">
        <v>4</v>
      </c>
      <c r="B16" s="153" t="s">
        <v>334</v>
      </c>
      <c r="C16" s="146">
        <v>32</v>
      </c>
      <c r="D16" s="51" t="s">
        <v>10</v>
      </c>
      <c r="E16" s="48">
        <f t="shared" si="1"/>
        <v>8.4</v>
      </c>
      <c r="F16" s="203">
        <f t="shared" si="2"/>
        <v>268.8</v>
      </c>
      <c r="G16" s="48">
        <v>3</v>
      </c>
      <c r="H16" s="48">
        <v>5.4</v>
      </c>
      <c r="I16" s="48">
        <f>IF(D16=0," ",(G16)*(Details!$C$4+Details!$C$8))</f>
        <v>0.45000000000000007</v>
      </c>
      <c r="J16" s="203">
        <f>IF(D16=0," ",(H16)*(Details!$C$6+Details!$C$8))</f>
        <v>0.81000000000000016</v>
      </c>
      <c r="K16" s="59">
        <f>+G16*C16</f>
        <v>96</v>
      </c>
      <c r="L16" s="48">
        <f>+H16*C16</f>
        <v>172.8</v>
      </c>
      <c r="M16" s="48">
        <f>IF(D16=0," ",(I16*C16))</f>
        <v>14.400000000000002</v>
      </c>
      <c r="N16" s="203">
        <f>IF(D16=0," ",(J16*C16))</f>
        <v>25.920000000000005</v>
      </c>
    </row>
    <row r="17" spans="1:14" s="21" customFormat="1" ht="18" x14ac:dyDescent="0.35">
      <c r="A17" s="49"/>
      <c r="B17" s="153"/>
      <c r="C17" s="146"/>
      <c r="D17" s="61"/>
      <c r="E17" s="48"/>
      <c r="F17" s="203"/>
      <c r="G17" s="48"/>
      <c r="H17" s="48"/>
      <c r="I17" s="48"/>
      <c r="J17" s="207"/>
      <c r="K17" s="218"/>
      <c r="L17" s="20"/>
      <c r="M17" s="20"/>
      <c r="N17" s="203"/>
    </row>
    <row r="18" spans="1:14" s="21" customFormat="1" ht="18" x14ac:dyDescent="0.35">
      <c r="A18" s="49">
        <v>5</v>
      </c>
      <c r="B18" s="38" t="s">
        <v>335</v>
      </c>
      <c r="C18" s="146">
        <v>32</v>
      </c>
      <c r="D18" s="51" t="s">
        <v>10</v>
      </c>
      <c r="E18" s="48">
        <f t="shared" si="1"/>
        <v>23.2</v>
      </c>
      <c r="F18" s="203">
        <f t="shared" si="2"/>
        <v>742.4</v>
      </c>
      <c r="G18" s="48">
        <v>10</v>
      </c>
      <c r="H18" s="48">
        <v>13.2</v>
      </c>
      <c r="I18" s="48">
        <f>IF(D18=0," ",(G18)*(Details!$C$4+Details!$C$8))</f>
        <v>1.5000000000000002</v>
      </c>
      <c r="J18" s="203">
        <f>IF(D18=0," ",(H18)*(Details!$C$6+Details!$C$8))</f>
        <v>1.9800000000000002</v>
      </c>
      <c r="K18" s="59">
        <f>+G18*C18</f>
        <v>320</v>
      </c>
      <c r="L18" s="48">
        <f>+H18*C18</f>
        <v>422.4</v>
      </c>
      <c r="M18" s="48">
        <f>IF(D18=0," ",(I18*C18))</f>
        <v>48.000000000000007</v>
      </c>
      <c r="N18" s="203">
        <f>IF(D18=0," ",(J18*C18))</f>
        <v>63.360000000000007</v>
      </c>
    </row>
    <row r="19" spans="1:14" s="21" customFormat="1" ht="18" x14ac:dyDescent="0.35">
      <c r="A19" s="49"/>
      <c r="B19" s="38"/>
      <c r="C19" s="146"/>
      <c r="D19" s="61"/>
      <c r="E19" s="48"/>
      <c r="F19" s="203"/>
      <c r="G19" s="48"/>
      <c r="H19" s="48"/>
      <c r="I19" s="48"/>
      <c r="J19" s="207"/>
      <c r="K19" s="218"/>
      <c r="L19" s="20"/>
      <c r="M19" s="20"/>
      <c r="N19" s="203"/>
    </row>
    <row r="20" spans="1:14" s="21" customFormat="1" ht="18" x14ac:dyDescent="0.35">
      <c r="A20" s="75">
        <f>IF(F20&lt;&gt;"",(LARGE(A$4:A18,1)+1),"")</f>
        <v>6</v>
      </c>
      <c r="B20" s="153" t="s">
        <v>336</v>
      </c>
      <c r="C20" s="146">
        <v>32</v>
      </c>
      <c r="D20" s="51" t="s">
        <v>10</v>
      </c>
      <c r="E20" s="48">
        <f t="shared" si="1"/>
        <v>54.8</v>
      </c>
      <c r="F20" s="203">
        <f t="shared" si="2"/>
        <v>1753.6</v>
      </c>
      <c r="G20" s="48">
        <v>20</v>
      </c>
      <c r="H20" s="48">
        <v>34.799999999999997</v>
      </c>
      <c r="I20" s="48">
        <f>IF(D20=0," ",(G20)*(Details!$C$4+Details!$C$8))</f>
        <v>3.0000000000000004</v>
      </c>
      <c r="J20" s="203">
        <f>IF(D20=0," ",(H20)*(Details!$C$6+Details!$C$8))</f>
        <v>5.2200000000000006</v>
      </c>
      <c r="K20" s="59">
        <f>+G20*C20</f>
        <v>640</v>
      </c>
      <c r="L20" s="48">
        <f>+H20*C20</f>
        <v>1113.5999999999999</v>
      </c>
      <c r="M20" s="48">
        <f>IF(D20=0," ",(I20*C20))</f>
        <v>96.000000000000014</v>
      </c>
      <c r="N20" s="203">
        <f>IF(D20=0," ",(J20*C20))</f>
        <v>167.04000000000002</v>
      </c>
    </row>
    <row r="21" spans="1:14" s="21" customFormat="1" ht="18" x14ac:dyDescent="0.35">
      <c r="A21" s="75" t="str">
        <f>IF(F21&lt;&gt;"",(LARGE(A$4:A20,1)+1),"")</f>
        <v/>
      </c>
      <c r="B21" s="153"/>
      <c r="C21" s="146"/>
      <c r="D21" s="61"/>
      <c r="E21" s="62"/>
      <c r="F21" s="202"/>
      <c r="G21" s="48"/>
      <c r="H21" s="48"/>
      <c r="I21" s="48"/>
      <c r="J21" s="207"/>
      <c r="K21" s="218"/>
      <c r="L21" s="20"/>
      <c r="M21" s="20"/>
      <c r="N21" s="203"/>
    </row>
    <row r="22" spans="1:14" s="21" customFormat="1" ht="18" x14ac:dyDescent="0.35">
      <c r="A22" s="75"/>
      <c r="B22" s="168" t="s">
        <v>337</v>
      </c>
      <c r="C22" s="146"/>
      <c r="D22" s="61"/>
      <c r="E22" s="62"/>
      <c r="F22" s="202"/>
      <c r="G22" s="48"/>
      <c r="H22" s="48"/>
      <c r="I22" s="48"/>
      <c r="J22" s="207"/>
      <c r="K22" s="218"/>
      <c r="L22" s="20"/>
      <c r="M22" s="20"/>
      <c r="N22" s="203"/>
    </row>
    <row r="23" spans="1:14" s="21" customFormat="1" ht="18" x14ac:dyDescent="0.35">
      <c r="A23" s="75" t="str">
        <f>IF(F23&lt;&gt;"",(LARGE(A$4:A22,1)+1),"")</f>
        <v/>
      </c>
      <c r="B23" s="38"/>
      <c r="C23" s="146"/>
      <c r="D23" s="61"/>
      <c r="E23" s="62"/>
      <c r="F23" s="202"/>
      <c r="G23" s="48"/>
      <c r="H23" s="48"/>
      <c r="I23" s="48"/>
      <c r="J23" s="207"/>
      <c r="K23" s="218"/>
      <c r="L23" s="20"/>
      <c r="M23" s="20"/>
      <c r="N23" s="203"/>
    </row>
    <row r="24" spans="1:14" s="21" customFormat="1" ht="18" x14ac:dyDescent="0.35">
      <c r="A24" s="75">
        <v>7</v>
      </c>
      <c r="B24" s="38" t="s">
        <v>331</v>
      </c>
      <c r="C24" s="146">
        <v>13</v>
      </c>
      <c r="D24" s="51" t="s">
        <v>10</v>
      </c>
      <c r="E24" s="48">
        <f t="shared" ref="E24:E34" si="3">G24+H24</f>
        <v>49.8</v>
      </c>
      <c r="F24" s="203">
        <f t="shared" ref="F24:F34" si="4">E24*C24</f>
        <v>647.4</v>
      </c>
      <c r="G24" s="48">
        <v>20</v>
      </c>
      <c r="H24" s="48">
        <v>29.8</v>
      </c>
      <c r="I24" s="48">
        <f>IF(D24=0," ",(G24)*(Details!$C$4+Details!$C$8))</f>
        <v>3.0000000000000004</v>
      </c>
      <c r="J24" s="203">
        <f>IF(D24=0," ",(H24)*(Details!$C$6+Details!$C$8))</f>
        <v>4.4700000000000006</v>
      </c>
      <c r="K24" s="59">
        <f>+G24*C24</f>
        <v>260</v>
      </c>
      <c r="L24" s="48">
        <f>+H24*C24</f>
        <v>387.40000000000003</v>
      </c>
      <c r="M24" s="48">
        <f>IF(D24=0," ",(I24*C24))</f>
        <v>39.000000000000007</v>
      </c>
      <c r="N24" s="203">
        <f>IF(D24=0," ",(J24*C24))</f>
        <v>58.110000000000007</v>
      </c>
    </row>
    <row r="25" spans="1:14" s="21" customFormat="1" ht="18" x14ac:dyDescent="0.35">
      <c r="A25" s="75"/>
      <c r="B25" s="38"/>
      <c r="C25" s="146"/>
      <c r="D25" s="61"/>
      <c r="E25" s="48"/>
      <c r="F25" s="203"/>
      <c r="G25" s="48"/>
      <c r="H25" s="48"/>
      <c r="I25" s="48"/>
      <c r="J25" s="207"/>
      <c r="K25" s="218"/>
      <c r="L25" s="20"/>
      <c r="M25" s="20"/>
      <c r="N25" s="203"/>
    </row>
    <row r="26" spans="1:14" s="21" customFormat="1" ht="18" x14ac:dyDescent="0.35">
      <c r="A26" s="75">
        <f>IF(F26&lt;&gt;"",(LARGE(A$4:A24,1)+1),"")</f>
        <v>8</v>
      </c>
      <c r="B26" s="38" t="s">
        <v>338</v>
      </c>
      <c r="C26" s="146">
        <v>13</v>
      </c>
      <c r="D26" s="51" t="s">
        <v>10</v>
      </c>
      <c r="E26" s="48">
        <f t="shared" si="3"/>
        <v>47.9</v>
      </c>
      <c r="F26" s="203">
        <f t="shared" si="4"/>
        <v>622.69999999999993</v>
      </c>
      <c r="G26" s="48">
        <v>15.5</v>
      </c>
      <c r="H26" s="48">
        <v>32.4</v>
      </c>
      <c r="I26" s="48">
        <f>IF(D26=0," ",(G26)*(Details!$C$4+Details!$C$8))</f>
        <v>2.3250000000000002</v>
      </c>
      <c r="J26" s="203">
        <f>IF(D26=0," ",(H26)*(Details!$C$6+Details!$C$8))</f>
        <v>4.8600000000000003</v>
      </c>
      <c r="K26" s="59">
        <f>+G26*C26</f>
        <v>201.5</v>
      </c>
      <c r="L26" s="48">
        <f>+H26*C26</f>
        <v>421.2</v>
      </c>
      <c r="M26" s="48">
        <f>IF(D26=0," ",(I26*C26))</f>
        <v>30.225000000000001</v>
      </c>
      <c r="N26" s="203">
        <f>IF(D26=0," ",(J26*C26))</f>
        <v>63.180000000000007</v>
      </c>
    </row>
    <row r="27" spans="1:14" s="21" customFormat="1" ht="18" x14ac:dyDescent="0.35">
      <c r="A27" s="75"/>
      <c r="B27" s="38"/>
      <c r="C27" s="146"/>
      <c r="D27" s="61"/>
      <c r="E27" s="48"/>
      <c r="F27" s="203"/>
      <c r="G27" s="48"/>
      <c r="H27" s="48"/>
      <c r="I27" s="48"/>
      <c r="J27" s="207"/>
      <c r="K27" s="218"/>
      <c r="L27" s="20"/>
      <c r="M27" s="20"/>
      <c r="N27" s="203"/>
    </row>
    <row r="28" spans="1:14" s="21" customFormat="1" ht="18" x14ac:dyDescent="0.35">
      <c r="A28" s="75">
        <v>10</v>
      </c>
      <c r="B28" s="153" t="s">
        <v>332</v>
      </c>
      <c r="C28" s="146">
        <v>13</v>
      </c>
      <c r="D28" s="51" t="s">
        <v>10</v>
      </c>
      <c r="E28" s="48">
        <f t="shared" si="3"/>
        <v>25.4</v>
      </c>
      <c r="F28" s="203">
        <f t="shared" si="4"/>
        <v>330.2</v>
      </c>
      <c r="G28" s="48">
        <v>10</v>
      </c>
      <c r="H28" s="48">
        <v>15.4</v>
      </c>
      <c r="I28" s="48">
        <f>IF(D28=0," ",(G28)*(Details!$C$4+Details!$C$8))</f>
        <v>1.5000000000000002</v>
      </c>
      <c r="J28" s="203">
        <f>IF(D28=0," ",(H28)*(Details!$C$6+Details!$C$8))</f>
        <v>2.3100000000000005</v>
      </c>
      <c r="K28" s="59">
        <f>+G28*C28</f>
        <v>130</v>
      </c>
      <c r="L28" s="48">
        <f>+H28*C28</f>
        <v>200.20000000000002</v>
      </c>
      <c r="M28" s="48">
        <f>IF(D28=0," ",(I28*C28))</f>
        <v>19.500000000000004</v>
      </c>
      <c r="N28" s="203">
        <f>IF(D28=0," ",(J28*C28))</f>
        <v>30.030000000000008</v>
      </c>
    </row>
    <row r="29" spans="1:14" s="21" customFormat="1" ht="18" x14ac:dyDescent="0.35">
      <c r="A29" s="75"/>
      <c r="B29" s="153"/>
      <c r="C29" s="146"/>
      <c r="D29" s="61"/>
      <c r="E29" s="48"/>
      <c r="F29" s="203"/>
      <c r="G29" s="48"/>
      <c r="H29" s="48"/>
      <c r="I29" s="48"/>
      <c r="J29" s="207"/>
      <c r="K29" s="218"/>
      <c r="L29" s="20"/>
      <c r="M29" s="20"/>
      <c r="N29" s="203"/>
    </row>
    <row r="30" spans="1:14" s="21" customFormat="1" ht="18" x14ac:dyDescent="0.35">
      <c r="A30" s="75">
        <f>IF(F30&lt;&gt;"",(LARGE(A$4:A28,1)+1),"")</f>
        <v>11</v>
      </c>
      <c r="B30" s="153" t="s">
        <v>339</v>
      </c>
      <c r="C30" s="146">
        <v>13</v>
      </c>
      <c r="D30" s="51" t="s">
        <v>10</v>
      </c>
      <c r="E30" s="48">
        <f t="shared" si="3"/>
        <v>21.4</v>
      </c>
      <c r="F30" s="203">
        <f t="shared" si="4"/>
        <v>278.2</v>
      </c>
      <c r="G30" s="48">
        <v>8</v>
      </c>
      <c r="H30" s="48">
        <v>13.4</v>
      </c>
      <c r="I30" s="48">
        <f>IF(D30=0," ",(G30)*(Details!$C$4+Details!$C$8))</f>
        <v>1.2000000000000002</v>
      </c>
      <c r="J30" s="203">
        <f>IF(D30=0," ",(H30)*(Details!$C$6+Details!$C$8))</f>
        <v>2.0100000000000002</v>
      </c>
      <c r="K30" s="59">
        <f>+G30*C30</f>
        <v>104</v>
      </c>
      <c r="L30" s="48">
        <f>+H30*C30</f>
        <v>174.20000000000002</v>
      </c>
      <c r="M30" s="48">
        <f>IF(D30=0," ",(I30*C30))</f>
        <v>15.600000000000001</v>
      </c>
      <c r="N30" s="203">
        <f>IF(D30=0," ",(J30*C30))</f>
        <v>26.130000000000003</v>
      </c>
    </row>
    <row r="31" spans="1:14" s="21" customFormat="1" ht="18" x14ac:dyDescent="0.35">
      <c r="A31" s="75"/>
      <c r="B31" s="153"/>
      <c r="C31" s="146"/>
      <c r="D31" s="61"/>
      <c r="E31" s="48"/>
      <c r="F31" s="203"/>
      <c r="G31" s="48"/>
      <c r="H31" s="48"/>
      <c r="I31" s="48"/>
      <c r="J31" s="207"/>
      <c r="K31" s="218"/>
      <c r="L31" s="20"/>
      <c r="M31" s="20"/>
      <c r="N31" s="203"/>
    </row>
    <row r="32" spans="1:14" s="21" customFormat="1" ht="18" x14ac:dyDescent="0.35">
      <c r="A32" s="75">
        <v>12</v>
      </c>
      <c r="B32" s="153" t="s">
        <v>340</v>
      </c>
      <c r="C32" s="146">
        <v>13</v>
      </c>
      <c r="D32" s="51" t="s">
        <v>10</v>
      </c>
      <c r="E32" s="48">
        <f t="shared" si="3"/>
        <v>33.299999999999997</v>
      </c>
      <c r="F32" s="203">
        <f t="shared" si="4"/>
        <v>432.9</v>
      </c>
      <c r="G32" s="48">
        <v>13.5</v>
      </c>
      <c r="H32" s="48">
        <v>19.8</v>
      </c>
      <c r="I32" s="48">
        <f>IF(D32=0," ",(G32)*(Details!$C$4+Details!$C$8))</f>
        <v>2.0250000000000004</v>
      </c>
      <c r="J32" s="203">
        <f>IF(D32=0," ",(H32)*(Details!$C$6+Details!$C$8))</f>
        <v>2.9700000000000006</v>
      </c>
      <c r="K32" s="59">
        <f>+G32*C32</f>
        <v>175.5</v>
      </c>
      <c r="L32" s="48">
        <f>+H32*C32</f>
        <v>257.40000000000003</v>
      </c>
      <c r="M32" s="48">
        <f>IF(D32=0," ",(I32*C32))</f>
        <v>26.325000000000003</v>
      </c>
      <c r="N32" s="203">
        <f>IF(D32=0," ",(J32*C32))</f>
        <v>38.610000000000007</v>
      </c>
    </row>
    <row r="33" spans="1:14" s="21" customFormat="1" ht="18" x14ac:dyDescent="0.35">
      <c r="A33" s="75"/>
      <c r="B33" s="153"/>
      <c r="C33" s="146"/>
      <c r="D33" s="61"/>
      <c r="E33" s="48"/>
      <c r="F33" s="203"/>
      <c r="G33" s="48"/>
      <c r="H33" s="48"/>
      <c r="I33" s="48"/>
      <c r="J33" s="207"/>
      <c r="K33" s="218"/>
      <c r="L33" s="20"/>
      <c r="M33" s="20"/>
      <c r="N33" s="203"/>
    </row>
    <row r="34" spans="1:14" s="21" customFormat="1" ht="18" x14ac:dyDescent="0.35">
      <c r="A34" s="75">
        <f>IF(F34&lt;&gt;"",(LARGE(A$4:A32,1)+1),"")</f>
        <v>13</v>
      </c>
      <c r="B34" s="153" t="s">
        <v>334</v>
      </c>
      <c r="C34" s="146">
        <v>13</v>
      </c>
      <c r="D34" s="51" t="s">
        <v>10</v>
      </c>
      <c r="E34" s="48">
        <f t="shared" si="3"/>
        <v>8.4</v>
      </c>
      <c r="F34" s="203">
        <f t="shared" si="4"/>
        <v>109.2</v>
      </c>
      <c r="G34" s="48">
        <v>3</v>
      </c>
      <c r="H34" s="48">
        <v>5.4</v>
      </c>
      <c r="I34" s="48">
        <f>IF(D34=0," ",(G34)*(Details!$C$4+Details!$C$8))</f>
        <v>0.45000000000000007</v>
      </c>
      <c r="J34" s="203">
        <f>IF(D34=0," ",(H34)*(Details!$C$6+Details!$C$8))</f>
        <v>0.81000000000000016</v>
      </c>
      <c r="K34" s="59">
        <f>+G34*C34</f>
        <v>39</v>
      </c>
      <c r="L34" s="48">
        <f>+H34*C34</f>
        <v>70.2</v>
      </c>
      <c r="M34" s="48">
        <f>IF(D34=0," ",(I34*C34))</f>
        <v>5.8500000000000005</v>
      </c>
      <c r="N34" s="203">
        <f>IF(D34=0," ",(J34*C34))</f>
        <v>10.530000000000003</v>
      </c>
    </row>
    <row r="35" spans="1:14" s="21" customFormat="1" ht="18" x14ac:dyDescent="0.35">
      <c r="A35" s="75"/>
      <c r="B35" s="38"/>
      <c r="C35" s="146"/>
      <c r="D35" s="51"/>
      <c r="E35" s="48"/>
      <c r="F35" s="203"/>
      <c r="G35" s="59"/>
      <c r="H35" s="48"/>
      <c r="I35" s="48"/>
      <c r="J35" s="203"/>
      <c r="K35" s="59"/>
      <c r="L35" s="48"/>
      <c r="M35" s="48"/>
      <c r="N35" s="203"/>
    </row>
    <row r="36" spans="1:14" s="21" customFormat="1" ht="18" x14ac:dyDescent="0.35">
      <c r="A36" s="75" t="str">
        <f>IF(F36&lt;&gt;"",(LARGE(A$4:A35,1)+1),"")</f>
        <v/>
      </c>
      <c r="B36" s="168" t="s">
        <v>343</v>
      </c>
      <c r="C36" s="149"/>
      <c r="D36" s="61"/>
      <c r="E36" s="62"/>
      <c r="F36" s="202"/>
      <c r="G36" s="59"/>
      <c r="H36" s="48"/>
      <c r="I36" s="48"/>
      <c r="J36" s="203"/>
      <c r="K36" s="218"/>
      <c r="L36" s="20"/>
      <c r="M36" s="20"/>
      <c r="N36" s="203"/>
    </row>
    <row r="37" spans="1:14" s="21" customFormat="1" ht="18" x14ac:dyDescent="0.35">
      <c r="A37" s="75" t="str">
        <f>IF(F37&lt;&gt;"",(LARGE(A$4:A36,1)+1),"")</f>
        <v/>
      </c>
      <c r="B37" s="168"/>
      <c r="C37" s="149"/>
      <c r="D37" s="61"/>
      <c r="E37" s="62"/>
      <c r="F37" s="202"/>
      <c r="G37" s="59"/>
      <c r="H37" s="48"/>
      <c r="I37" s="48"/>
      <c r="J37" s="203"/>
      <c r="K37" s="218"/>
      <c r="L37" s="20"/>
      <c r="M37" s="20"/>
      <c r="N37" s="203"/>
    </row>
    <row r="38" spans="1:14" s="21" customFormat="1" ht="18" x14ac:dyDescent="0.35">
      <c r="A38" s="75">
        <f>IF(F38&lt;&gt;"",(LARGE(A$4:A37,1)+1),"")</f>
        <v>14</v>
      </c>
      <c r="B38" s="153" t="s">
        <v>66</v>
      </c>
      <c r="C38" s="146">
        <v>7.4</v>
      </c>
      <c r="D38" s="51" t="s">
        <v>13</v>
      </c>
      <c r="E38" s="48">
        <f t="shared" ref="E38" si="5">G38+H38</f>
        <v>8.4</v>
      </c>
      <c r="F38" s="203">
        <f t="shared" ref="F38" si="6">E38*C38</f>
        <v>62.160000000000004</v>
      </c>
      <c r="G38" s="48">
        <v>3</v>
      </c>
      <c r="H38" s="48">
        <v>5.4</v>
      </c>
      <c r="I38" s="48">
        <f>IF(D38=0," ",(G38)*(Details!$C$4+Details!$C$8))</f>
        <v>0.45000000000000007</v>
      </c>
      <c r="J38" s="203">
        <f>IF(D38=0," ",(H38)*(Details!$C$6+Details!$C$8))</f>
        <v>0.81000000000000016</v>
      </c>
      <c r="K38" s="59">
        <f>+G38*C38</f>
        <v>22.200000000000003</v>
      </c>
      <c r="L38" s="48">
        <f>+H38*C38</f>
        <v>39.960000000000008</v>
      </c>
      <c r="M38" s="48">
        <f>IF(D38=0," ",(I38*C38))</f>
        <v>3.3300000000000005</v>
      </c>
      <c r="N38" s="203">
        <f>IF(D38=0," ",(J38*C38))</f>
        <v>5.9940000000000015</v>
      </c>
    </row>
    <row r="39" spans="1:14" s="21" customFormat="1" ht="18" x14ac:dyDescent="0.35">
      <c r="A39" s="75" t="str">
        <f>IF(F39&lt;&gt;"",(LARGE(A$4:A38,1)+1),"")</f>
        <v/>
      </c>
      <c r="B39" s="38"/>
      <c r="C39" s="146"/>
      <c r="D39" s="51"/>
      <c r="E39" s="48"/>
      <c r="F39" s="203"/>
      <c r="G39" s="59"/>
      <c r="H39" s="48"/>
      <c r="I39" s="48" t="str">
        <f>IF(D39=0," ",(G39)*(Details!$C$4+Details!$C$8))</f>
        <v xml:space="preserve"> </v>
      </c>
      <c r="J39" s="203" t="str">
        <f>IF(D39=0," ",(H39)*(Details!$C$6+Details!$C$8))</f>
        <v xml:space="preserve"> </v>
      </c>
      <c r="K39" s="218"/>
      <c r="L39" s="20"/>
      <c r="M39" s="20"/>
      <c r="N39" s="203"/>
    </row>
    <row r="40" spans="1:14" s="21" customFormat="1" ht="18" x14ac:dyDescent="0.35">
      <c r="A40" s="75">
        <f>IF(F40&lt;&gt;"",(LARGE(A$4:A39,1)+1),"")</f>
        <v>15</v>
      </c>
      <c r="B40" s="153" t="s">
        <v>67</v>
      </c>
      <c r="C40" s="146">
        <v>7.4</v>
      </c>
      <c r="D40" s="51" t="s">
        <v>13</v>
      </c>
      <c r="E40" s="48">
        <f t="shared" ref="E40" si="7">G40+H40</f>
        <v>7.8</v>
      </c>
      <c r="F40" s="352" t="s">
        <v>466</v>
      </c>
      <c r="G40" s="48">
        <v>3</v>
      </c>
      <c r="H40" s="48">
        <v>4.8</v>
      </c>
      <c r="I40" s="48">
        <f>IF(D40=0," ",(G40)*(Details!$C$4+Details!$C$8))</f>
        <v>0.45000000000000007</v>
      </c>
      <c r="J40" s="203">
        <f>IF(D40=0," ",(H40)*(Details!$C$6+Details!$C$8))</f>
        <v>0.72000000000000008</v>
      </c>
      <c r="K40" s="59">
        <f>+G40*C40</f>
        <v>22.200000000000003</v>
      </c>
      <c r="L40" s="48">
        <f>+H40*C40</f>
        <v>35.520000000000003</v>
      </c>
      <c r="M40" s="48">
        <f>IF(D40=0," ",(I40*C40))</f>
        <v>3.3300000000000005</v>
      </c>
      <c r="N40" s="203">
        <f>IF(D40=0," ",(J40*C40))</f>
        <v>5.3280000000000012</v>
      </c>
    </row>
    <row r="41" spans="1:14" s="21" customFormat="1" ht="18" x14ac:dyDescent="0.35">
      <c r="A41" s="75" t="str">
        <f>IF(F41&lt;&gt;"",(LARGE(A$4:A40,1)+1),"")</f>
        <v/>
      </c>
      <c r="B41" s="153"/>
      <c r="C41" s="146"/>
      <c r="D41" s="51"/>
      <c r="E41" s="48"/>
      <c r="F41" s="203"/>
      <c r="G41" s="59"/>
      <c r="H41" s="48"/>
      <c r="I41" s="48" t="str">
        <f>IF(D41=0," ",(G41)*(Details!$C$4+Details!$C$8))</f>
        <v xml:space="preserve"> </v>
      </c>
      <c r="J41" s="203" t="str">
        <f>IF(D41=0," ",(H41)*(Details!$C$6+Details!$C$8))</f>
        <v xml:space="preserve"> </v>
      </c>
      <c r="K41" s="218"/>
      <c r="L41" s="20"/>
      <c r="M41" s="20"/>
      <c r="N41" s="203"/>
    </row>
    <row r="42" spans="1:14" s="21" customFormat="1" ht="18" x14ac:dyDescent="0.35">
      <c r="A42" s="75" t="str">
        <f>IF(F42&lt;&gt;"",(LARGE(A$4:A41,1)+1),"")</f>
        <v/>
      </c>
      <c r="B42" s="168" t="s">
        <v>77</v>
      </c>
      <c r="C42" s="146"/>
      <c r="D42" s="51"/>
      <c r="E42" s="48"/>
      <c r="F42" s="203"/>
      <c r="G42" s="59"/>
      <c r="H42" s="48"/>
      <c r="I42" s="48" t="str">
        <f>IF(D42=0," ",(G42)*(Details!$C$4+Details!$C$8))</f>
        <v xml:space="preserve"> </v>
      </c>
      <c r="J42" s="203" t="str">
        <f>IF(D42=0," ",(H42)*(Details!$C$6+Details!$C$8))</f>
        <v xml:space="preserve"> </v>
      </c>
      <c r="K42" s="218"/>
      <c r="L42" s="20"/>
      <c r="M42" s="20"/>
      <c r="N42" s="203"/>
    </row>
    <row r="43" spans="1:14" s="21" customFormat="1" ht="18" x14ac:dyDescent="0.35">
      <c r="A43" s="75" t="str">
        <f>IF(F43&lt;&gt;"",(LARGE(A$4:A42,1)+1),"")</f>
        <v/>
      </c>
      <c r="B43" s="153"/>
      <c r="C43" s="146"/>
      <c r="D43" s="51"/>
      <c r="E43" s="48"/>
      <c r="F43" s="203"/>
      <c r="G43" s="59"/>
      <c r="H43" s="48"/>
      <c r="I43" s="48" t="str">
        <f>IF(D43=0," ",(G43)*(Details!$C$4+Details!$C$8))</f>
        <v xml:space="preserve"> </v>
      </c>
      <c r="J43" s="203" t="str">
        <f>IF(D43=0," ",(H43)*(Details!$C$6+Details!$C$8))</f>
        <v xml:space="preserve"> </v>
      </c>
      <c r="K43" s="218"/>
      <c r="L43" s="20"/>
      <c r="M43" s="20"/>
      <c r="N43" s="203"/>
    </row>
    <row r="44" spans="1:14" s="21" customFormat="1" ht="18" x14ac:dyDescent="0.35">
      <c r="A44" s="75">
        <f>IF(F44&lt;&gt;"",(LARGE(A$4:A43,1)+1),"")</f>
        <v>16</v>
      </c>
      <c r="B44" s="38" t="s">
        <v>341</v>
      </c>
      <c r="C44" s="146">
        <v>3</v>
      </c>
      <c r="D44" s="51" t="s">
        <v>260</v>
      </c>
      <c r="E44" s="48">
        <f t="shared" ref="E44:E46" si="8">G44+H44</f>
        <v>45.3</v>
      </c>
      <c r="F44" s="352" t="s">
        <v>466</v>
      </c>
      <c r="G44" s="48">
        <v>15.5</v>
      </c>
      <c r="H44" s="48">
        <v>29.8</v>
      </c>
      <c r="I44" s="48">
        <f>IF(D44=0," ",(G44)*(Details!$C$4+Details!$C$8))</f>
        <v>2.3250000000000002</v>
      </c>
      <c r="J44" s="203">
        <f>IF(D44=0," ",(H44)*(Details!$C$6+Details!$C$8))</f>
        <v>4.4700000000000006</v>
      </c>
      <c r="K44" s="59">
        <f>+G44*C44</f>
        <v>46.5</v>
      </c>
      <c r="L44" s="48">
        <f>+H44*C44</f>
        <v>89.4</v>
      </c>
      <c r="M44" s="48">
        <f>IF(D44=0," ",(I44*C44))</f>
        <v>6.9750000000000005</v>
      </c>
      <c r="N44" s="203">
        <f>IF(D44=0," ",(J44*C44))</f>
        <v>13.410000000000002</v>
      </c>
    </row>
    <row r="45" spans="1:14" s="21" customFormat="1" ht="18" x14ac:dyDescent="0.35">
      <c r="A45" s="75" t="str">
        <f>IF(F45&lt;&gt;"",(LARGE(A$4:A44,1)+1),"")</f>
        <v/>
      </c>
      <c r="B45" s="153"/>
      <c r="C45" s="146"/>
      <c r="D45" s="51"/>
      <c r="E45" s="48"/>
      <c r="F45" s="203"/>
      <c r="G45" s="59"/>
      <c r="H45" s="48"/>
      <c r="I45" s="48" t="str">
        <f>IF(D45=0," ",(G45)*(Details!$C$4+Details!$C$8))</f>
        <v xml:space="preserve"> </v>
      </c>
      <c r="J45" s="203" t="str">
        <f>IF(D45=0," ",(H45)*(Details!$C$6+Details!$C$8))</f>
        <v xml:space="preserve"> </v>
      </c>
      <c r="K45" s="218"/>
      <c r="L45" s="20"/>
      <c r="M45" s="20"/>
      <c r="N45" s="203" t="str">
        <f t="shared" si="0"/>
        <v xml:space="preserve"> </v>
      </c>
    </row>
    <row r="46" spans="1:14" s="21" customFormat="1" ht="18" x14ac:dyDescent="0.35">
      <c r="A46" s="75">
        <f>IF(F46&lt;&gt;"",(LARGE(A$4:A45,1)+1),"")</f>
        <v>17</v>
      </c>
      <c r="B46" s="38" t="s">
        <v>342</v>
      </c>
      <c r="C46" s="146">
        <v>2.44</v>
      </c>
      <c r="D46" s="51" t="s">
        <v>260</v>
      </c>
      <c r="E46" s="48">
        <f t="shared" si="8"/>
        <v>40.9</v>
      </c>
      <c r="F46" s="352" t="s">
        <v>466</v>
      </c>
      <c r="G46" s="48">
        <v>14.2</v>
      </c>
      <c r="H46" s="48">
        <v>26.7</v>
      </c>
      <c r="I46" s="48">
        <f>IF(D46=0," ",(G46)*(Details!$C$4+Details!$C$8))</f>
        <v>2.1300000000000003</v>
      </c>
      <c r="J46" s="203">
        <f>IF(D46=0," ",(H46)*(Details!$C$6+Details!$C$8))</f>
        <v>4.0050000000000008</v>
      </c>
      <c r="K46" s="59">
        <f>+G46*C46</f>
        <v>34.647999999999996</v>
      </c>
      <c r="L46" s="48">
        <f>+H46*C46</f>
        <v>65.147999999999996</v>
      </c>
      <c r="M46" s="48">
        <f>IF(D46=0," ",(I46*C46))</f>
        <v>5.1972000000000005</v>
      </c>
      <c r="N46" s="203">
        <f>IF(D46=0," ",(J46*C46))</f>
        <v>9.7722000000000016</v>
      </c>
    </row>
    <row r="47" spans="1:14" s="21" customFormat="1" ht="18" x14ac:dyDescent="0.35">
      <c r="A47" s="75" t="str">
        <f>IF(F47&lt;&gt;"",(LARGE(A$4:A46,1)+1),"")</f>
        <v/>
      </c>
      <c r="B47" s="153"/>
      <c r="C47" s="146"/>
      <c r="D47" s="51"/>
      <c r="E47" s="48"/>
      <c r="F47" s="203"/>
      <c r="G47" s="59"/>
      <c r="H47" s="48"/>
      <c r="I47" s="48" t="str">
        <f>IF(D47=0," ",(G47)*(Details!$C$4+Details!$C$8))</f>
        <v xml:space="preserve"> </v>
      </c>
      <c r="J47" s="203" t="str">
        <f>IF(D47=0," ",(H47)*(Details!$C$6+Details!$C$8))</f>
        <v xml:space="preserve"> </v>
      </c>
      <c r="K47" s="218"/>
      <c r="L47" s="20"/>
      <c r="M47" s="20"/>
      <c r="N47" s="203" t="str">
        <f t="shared" si="0"/>
        <v xml:space="preserve"> </v>
      </c>
    </row>
    <row r="48" spans="1:14" s="21" customFormat="1" ht="18" x14ac:dyDescent="0.35">
      <c r="A48" s="75" t="str">
        <f>IF(F48&lt;&gt;"",(LARGE(A$4:A47,1)+1),"")</f>
        <v/>
      </c>
      <c r="B48" s="168" t="s">
        <v>68</v>
      </c>
      <c r="C48" s="149"/>
      <c r="D48" s="61"/>
      <c r="E48" s="62"/>
      <c r="F48" s="202"/>
      <c r="G48" s="59"/>
      <c r="H48" s="48"/>
      <c r="I48" s="48" t="str">
        <f>IF(D48=0," ",(G48)*(Details!$C$4+Details!$C$8))</f>
        <v xml:space="preserve"> </v>
      </c>
      <c r="J48" s="203" t="str">
        <f>IF(D48=0," ",(H48)*(Details!$C$6+Details!$C$8))</f>
        <v xml:space="preserve"> </v>
      </c>
      <c r="K48" s="218"/>
      <c r="L48" s="20"/>
      <c r="M48" s="20"/>
      <c r="N48" s="203" t="str">
        <f t="shared" si="0"/>
        <v xml:space="preserve"> </v>
      </c>
    </row>
    <row r="49" spans="1:16" s="21" customFormat="1" ht="18" x14ac:dyDescent="0.35">
      <c r="A49" s="75" t="str">
        <f>IF(F49&lt;&gt;"",(LARGE(A$4:A48,1)+1),"")</f>
        <v/>
      </c>
      <c r="B49" s="38"/>
      <c r="C49" s="149"/>
      <c r="D49" s="61"/>
      <c r="E49" s="62"/>
      <c r="F49" s="202"/>
      <c r="G49" s="59"/>
      <c r="H49" s="48"/>
      <c r="I49" s="48" t="str">
        <f>IF(D49=0," ",(G49)*(Details!$C$4+Details!$C$8))</f>
        <v xml:space="preserve"> </v>
      </c>
      <c r="J49" s="203" t="str">
        <f>IF(D49=0," ",(H49)*(Details!$C$6+Details!$C$8))</f>
        <v xml:space="preserve"> </v>
      </c>
      <c r="K49" s="218"/>
      <c r="L49" s="20"/>
      <c r="M49" s="20"/>
      <c r="N49" s="203" t="str">
        <f t="shared" si="0"/>
        <v xml:space="preserve"> </v>
      </c>
    </row>
    <row r="50" spans="1:16" s="21" customFormat="1" ht="18" x14ac:dyDescent="0.35">
      <c r="A50" s="75">
        <v>18</v>
      </c>
      <c r="B50" s="38" t="s">
        <v>344</v>
      </c>
      <c r="C50" s="146">
        <v>9.89</v>
      </c>
      <c r="D50" s="51" t="s">
        <v>13</v>
      </c>
      <c r="E50" s="48">
        <f t="shared" ref="E50" si="9">G50+H50</f>
        <v>7.4</v>
      </c>
      <c r="F50" s="352" t="s">
        <v>466</v>
      </c>
      <c r="G50" s="48">
        <v>3</v>
      </c>
      <c r="H50" s="48">
        <v>4.4000000000000004</v>
      </c>
      <c r="I50" s="48">
        <f>IF(D50=0," ",(G50)*(Details!$C$4+Details!$C$8))</f>
        <v>0.45000000000000007</v>
      </c>
      <c r="J50" s="203">
        <f>IF(D50=0," ",(H50)*(Details!$C$6+Details!$C$8))</f>
        <v>0.66000000000000014</v>
      </c>
      <c r="K50" s="59">
        <f>+G50*C50</f>
        <v>29.67</v>
      </c>
      <c r="L50" s="48">
        <f>+H50*C50</f>
        <v>43.516000000000005</v>
      </c>
      <c r="M50" s="48">
        <f>IF(D50=0," ",(I50*C50))</f>
        <v>4.4505000000000008</v>
      </c>
      <c r="N50" s="203">
        <f>IF(D50=0," ",(J50*C50))</f>
        <v>6.5274000000000019</v>
      </c>
    </row>
    <row r="51" spans="1:16" s="21" customFormat="1" ht="18" x14ac:dyDescent="0.35">
      <c r="A51" s="75"/>
      <c r="B51" s="38"/>
      <c r="C51" s="146"/>
      <c r="D51" s="51"/>
      <c r="E51" s="48"/>
      <c r="F51" s="203"/>
      <c r="G51" s="48"/>
      <c r="H51" s="48"/>
      <c r="I51" s="48"/>
      <c r="J51" s="203"/>
      <c r="K51" s="59"/>
      <c r="L51" s="48"/>
      <c r="M51" s="48"/>
      <c r="N51" s="203"/>
    </row>
    <row r="52" spans="1:16" s="21" customFormat="1" ht="18" x14ac:dyDescent="0.35">
      <c r="A52" s="75">
        <v>19</v>
      </c>
      <c r="B52" s="153" t="s">
        <v>345</v>
      </c>
      <c r="C52" s="146">
        <v>8.26</v>
      </c>
      <c r="D52" s="51" t="s">
        <v>13</v>
      </c>
      <c r="E52" s="48">
        <f t="shared" ref="E52" si="10">G52+H52</f>
        <v>7.4</v>
      </c>
      <c r="F52" s="352" t="s">
        <v>466</v>
      </c>
      <c r="G52" s="48">
        <v>3</v>
      </c>
      <c r="H52" s="48">
        <v>4.4000000000000004</v>
      </c>
      <c r="I52" s="48">
        <f>IF(D52=0," ",(G52)*(Details!$C$4+Details!$C$8))</f>
        <v>0.45000000000000007</v>
      </c>
      <c r="J52" s="203">
        <f>IF(D52=0," ",(H52)*(Details!$C$6+Details!$C$8))</f>
        <v>0.66000000000000014</v>
      </c>
      <c r="K52" s="59">
        <f>+G52*C52</f>
        <v>24.78</v>
      </c>
      <c r="L52" s="48">
        <f>+H52*C52</f>
        <v>36.344000000000001</v>
      </c>
      <c r="M52" s="48">
        <f>IF(D52=0," ",(I52*C52))</f>
        <v>3.7170000000000005</v>
      </c>
      <c r="N52" s="203">
        <f>IF(D52=0," ",(J52*C52))</f>
        <v>5.4516000000000009</v>
      </c>
    </row>
    <row r="53" spans="1:16" s="21" customFormat="1" ht="18" x14ac:dyDescent="0.35">
      <c r="A53" s="75" t="str">
        <f>IF(F53&lt;&gt;"",(LARGE(A$7:A52,1)+1),"")</f>
        <v/>
      </c>
      <c r="B53" s="153"/>
      <c r="C53" s="146"/>
      <c r="D53" s="51"/>
      <c r="E53" s="48"/>
      <c r="F53" s="203"/>
      <c r="G53" s="59"/>
      <c r="H53" s="48"/>
      <c r="I53" s="48" t="str">
        <f>IF(D53=0," ",(G53)*(Details!$C$4+Details!$C$8))</f>
        <v xml:space="preserve"> </v>
      </c>
      <c r="J53" s="203" t="str">
        <f>IF(D53=0," ",(H53)*(Details!$C$6+Details!$C$8))</f>
        <v xml:space="preserve"> </v>
      </c>
      <c r="K53" s="218"/>
      <c r="L53" s="20"/>
      <c r="M53" s="20"/>
      <c r="N53" s="203"/>
      <c r="P53" s="72" t="s">
        <v>142</v>
      </c>
    </row>
    <row r="54" spans="1:16" s="21" customFormat="1" ht="18.600000000000001" thickBot="1" x14ac:dyDescent="0.4">
      <c r="A54" s="75"/>
      <c r="B54" s="164"/>
      <c r="C54" s="146"/>
      <c r="D54" s="60"/>
      <c r="E54" s="62" t="s">
        <v>115</v>
      </c>
      <c r="F54" s="204">
        <f>SUM(F1:F53)</f>
        <v>8338.7599999999984</v>
      </c>
      <c r="G54" s="59"/>
      <c r="H54" s="48"/>
      <c r="I54" s="48"/>
      <c r="J54" s="203" t="str">
        <f>IF(D54=0," ",(G54+H54)*(Details!$C$4+Details!$C$6))</f>
        <v xml:space="preserve"> </v>
      </c>
      <c r="K54" s="252">
        <f>SUM(K5:K53)</f>
        <v>3361.998</v>
      </c>
      <c r="L54" s="253">
        <f>SUM(L5:L53)</f>
        <v>5404.4879999999994</v>
      </c>
      <c r="M54" s="253">
        <f>SUM(M5:M53)</f>
        <v>504.29970000000009</v>
      </c>
      <c r="N54" s="204">
        <f>SUM(N5:N53)</f>
        <v>810.67320000000007</v>
      </c>
      <c r="P54" s="72">
        <f>+F54-K54-L54-N54-M54</f>
        <v>-1742.6989000000008</v>
      </c>
    </row>
    <row r="55" spans="1:16" s="21" customFormat="1" ht="19.2" thickTop="1" thickBot="1" x14ac:dyDescent="0.4">
      <c r="A55" s="165" t="str">
        <f>IF(F55&lt;&gt;"",(LARGE(A$7:A54,1)+1),"")</f>
        <v/>
      </c>
      <c r="B55" s="166"/>
      <c r="C55" s="159"/>
      <c r="D55" s="63"/>
      <c r="E55" s="65"/>
      <c r="F55" s="205"/>
      <c r="G55" s="66"/>
      <c r="H55" s="65"/>
      <c r="I55" s="65"/>
      <c r="J55" s="67" t="str">
        <f>IF(D55=0," ",(G55+H55)*(Details!$C$4+Details!$C$6))</f>
        <v xml:space="preserve"> </v>
      </c>
      <c r="K55" s="231"/>
      <c r="L55" s="231"/>
      <c r="M55" s="231"/>
      <c r="N55" s="191"/>
      <c r="P55" s="55"/>
    </row>
  </sheetData>
  <mergeCells count="2">
    <mergeCell ref="G5:J5"/>
    <mergeCell ref="K5:N5"/>
  </mergeCells>
  <conditionalFormatting sqref="G8:G10550">
    <cfRule type="notContainsBlanks" dxfId="88" priority="1">
      <formula>LEN(TRIM(G8))&gt;0</formula>
    </cfRule>
  </conditionalFormatting>
  <conditionalFormatting sqref="H10 H12 H14 H16 H18 H20 H24 H26 H28 H30 H32">
    <cfRule type="notContainsBlanks" dxfId="87" priority="14">
      <formula>LEN(TRIM(H10))&gt;0</formula>
    </cfRule>
  </conditionalFormatting>
  <conditionalFormatting sqref="H38:H53">
    <cfRule type="notContainsBlanks" dxfId="86" priority="2">
      <formula>LEN(TRIM(H38))&gt;0</formula>
    </cfRule>
  </conditionalFormatting>
  <conditionalFormatting sqref="H8:I9 H11:I11 H13:I13 H15:I15 H17:I17 H19:I19 H21:I23 H25:I25 H27:I27 H29:I29 H31:I31 H33:I33 H34 H54:I10450">
    <cfRule type="notContainsBlanks" dxfId="85" priority="94">
      <formula>LEN(TRIM(H8))&gt;0</formula>
    </cfRule>
  </conditionalFormatting>
  <conditionalFormatting sqref="H35:I37">
    <cfRule type="notContainsBlanks" dxfId="84" priority="66">
      <formula>LEN(TRIM(H35))&gt;0</formula>
    </cfRule>
  </conditionalFormatting>
  <conditionalFormatting sqref="P54">
    <cfRule type="cellIs" dxfId="83" priority="97" operator="equal">
      <formula>0</formula>
    </cfRule>
    <cfRule type="cellIs" dxfId="82" priority="98" operator="notBetween">
      <formula>-0.01</formula>
      <formula>0.01</formula>
    </cfRule>
  </conditionalFormatting>
  <printOptions horizontalCentered="1"/>
  <pageMargins left="0.70866141732283461" right="0.70866141732283461" top="0.31496062992125984" bottom="0.55118110236220474" header="0.31496062992125984" footer="0.31496062992125984"/>
  <pageSetup paperSize="9" scale="62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>
    <pageSetUpPr fitToPage="1"/>
  </sheetPr>
  <dimension ref="A1:X39"/>
  <sheetViews>
    <sheetView zoomScale="90" zoomScaleNormal="55" workbookViewId="0">
      <selection activeCell="B12" sqref="B12"/>
    </sheetView>
  </sheetViews>
  <sheetFormatPr defaultColWidth="9.109375" defaultRowHeight="15.6" x14ac:dyDescent="0.3"/>
  <cols>
    <col min="1" max="1" width="5.77734375" style="16" customWidth="1"/>
    <col min="2" max="2" width="50.6640625" style="16" customWidth="1"/>
    <col min="3" max="4" width="11.6640625" style="70" customWidth="1"/>
    <col min="5" max="5" width="12.44140625" style="32" customWidth="1"/>
    <col min="6" max="6" width="8.6640625" style="16" customWidth="1"/>
    <col min="7" max="11" width="15.6640625" style="20" customWidth="1"/>
    <col min="12" max="16" width="15.6640625" style="16" customWidth="1"/>
    <col min="17" max="17" width="14" style="69" bestFit="1" customWidth="1"/>
    <col min="18" max="19" width="11.6640625" style="69" bestFit="1" customWidth="1"/>
    <col min="20" max="20" width="10.6640625" style="69" customWidth="1"/>
    <col min="21" max="21" width="11.33203125" style="32" bestFit="1" customWidth="1"/>
    <col min="22" max="22" width="14.44140625" style="16" bestFit="1" customWidth="1"/>
    <col min="23" max="16384" width="9.109375" style="16"/>
  </cols>
  <sheetData>
    <row r="1" spans="1:24" x14ac:dyDescent="0.3">
      <c r="A1" s="29"/>
      <c r="B1" s="24"/>
      <c r="C1" s="76"/>
      <c r="D1" s="76"/>
      <c r="E1" s="31"/>
      <c r="F1" s="24"/>
      <c r="G1" s="33"/>
      <c r="H1" s="34"/>
      <c r="I1" s="33"/>
      <c r="J1" s="33"/>
      <c r="K1" s="33"/>
      <c r="L1" s="24"/>
      <c r="U1" s="270">
        <v>1</v>
      </c>
    </row>
    <row r="2" spans="1:24" x14ac:dyDescent="0.3">
      <c r="A2" s="15"/>
      <c r="B2" s="3" t="str">
        <f>+Roof!B2</f>
        <v>PROJECT: Mr &amp; Mrs Hawkes-Cowands House</v>
      </c>
      <c r="C2" s="77"/>
      <c r="D2" s="77"/>
      <c r="H2" s="35"/>
      <c r="R2" s="263" t="s">
        <v>191</v>
      </c>
      <c r="S2" s="263" t="s">
        <v>191</v>
      </c>
    </row>
    <row r="3" spans="1:24" x14ac:dyDescent="0.3">
      <c r="A3" s="15"/>
      <c r="B3" s="53" t="str">
        <f>+Roof!B3</f>
        <v>DATE: 25TH SEPTEMBER 2025</v>
      </c>
      <c r="C3" s="78"/>
      <c r="D3" s="78"/>
      <c r="H3" s="35"/>
      <c r="R3" s="69" t="s">
        <v>70</v>
      </c>
      <c r="S3" s="69" t="s">
        <v>71</v>
      </c>
      <c r="T3" s="69" t="s">
        <v>72</v>
      </c>
      <c r="U3" s="68"/>
      <c r="V3" s="21"/>
      <c r="W3" s="21"/>
      <c r="X3" s="21"/>
    </row>
    <row r="4" spans="1:24" s="21" customFormat="1" x14ac:dyDescent="0.3">
      <c r="A4" s="15"/>
      <c r="B4" s="16"/>
      <c r="C4" s="70"/>
      <c r="D4" s="79"/>
      <c r="E4" s="32"/>
      <c r="G4" s="36"/>
      <c r="H4" s="37"/>
      <c r="I4" s="36"/>
      <c r="J4" s="36"/>
      <c r="K4" s="36"/>
      <c r="Q4" s="69"/>
      <c r="R4" s="20">
        <f>IF($R$2="Multiple", "Input",
    IF($R$2="UPVC",$U$1*750,0)
    +IF($R$2="Aluminium",$U$1*1250,0)
    +IF($R$2="Timber",$U$1*1250,0)
    +IF($R$2="Composite",$U$1*1500,0)
    +IF($R$2="Crittall",$U$1*2000,0)
)</f>
        <v>750</v>
      </c>
      <c r="S4" s="20">
        <f>IF($S$2="Multiple", "Input",
    IF($S$2="UPVC",$U$1*250,0)
    +IF($S$2="Aluminium",$U$1*600,0)
    +IF($S$2="Timber",$U$1*550,0)
    +IF($S$2="Composite",$U$1*450,0)
    +IF($S$2="Crittall",$U$1*1250,0)
)</f>
        <v>250</v>
      </c>
      <c r="T4" s="69">
        <v>800</v>
      </c>
      <c r="U4" s="68"/>
    </row>
    <row r="5" spans="1:24" s="21" customFormat="1" ht="16.2" thickBot="1" x14ac:dyDescent="0.35">
      <c r="A5" s="15"/>
      <c r="B5" s="16"/>
      <c r="C5" s="70"/>
      <c r="D5" s="79"/>
      <c r="E5" s="32"/>
      <c r="G5" s="36"/>
      <c r="H5" s="37"/>
      <c r="I5" s="36"/>
      <c r="J5" s="36"/>
      <c r="K5" s="36"/>
      <c r="L5" s="231"/>
      <c r="M5" s="231"/>
      <c r="Q5" s="69"/>
      <c r="R5" s="69" t="str">
        <f>IF($R$2="Multiple", "Input", "")</f>
        <v/>
      </c>
      <c r="S5" s="69" t="str">
        <f>IF($S$2="Multiple", "Input", "")</f>
        <v/>
      </c>
      <c r="T5" s="69"/>
      <c r="U5" s="20"/>
    </row>
    <row r="6" spans="1:24" s="21" customFormat="1" ht="37.5" customHeight="1" thickBot="1" x14ac:dyDescent="0.45">
      <c r="A6" s="222"/>
      <c r="B6" s="223" t="s">
        <v>113</v>
      </c>
      <c r="C6" s="224"/>
      <c r="D6" s="224"/>
      <c r="E6" s="225"/>
      <c r="F6" s="226"/>
      <c r="G6" s="227"/>
      <c r="H6" s="228"/>
      <c r="I6" s="370" t="s">
        <v>138</v>
      </c>
      <c r="J6" s="371"/>
      <c r="K6" s="371"/>
      <c r="L6" s="372"/>
      <c r="M6" s="371" t="s">
        <v>139</v>
      </c>
      <c r="N6" s="371"/>
      <c r="O6" s="371"/>
      <c r="P6" s="372"/>
      <c r="Q6" s="69"/>
      <c r="R6" s="69"/>
      <c r="S6" s="69"/>
      <c r="T6" s="69"/>
      <c r="U6" s="68"/>
    </row>
    <row r="7" spans="1:24" s="21" customFormat="1" ht="18" x14ac:dyDescent="0.35">
      <c r="A7" s="187"/>
      <c r="B7" s="232"/>
      <c r="C7" s="172"/>
      <c r="D7" s="172"/>
      <c r="E7" s="233"/>
      <c r="F7" s="148"/>
      <c r="G7" s="147"/>
      <c r="H7" s="234"/>
      <c r="I7" s="258"/>
      <c r="J7" s="260"/>
      <c r="K7" s="260"/>
      <c r="L7" s="190"/>
      <c r="M7" s="23"/>
      <c r="N7" s="23"/>
      <c r="O7" s="23"/>
      <c r="P7" s="190"/>
      <c r="Q7" s="69"/>
      <c r="R7" s="69"/>
      <c r="S7" s="69"/>
      <c r="T7" s="69"/>
      <c r="U7" s="68"/>
    </row>
    <row r="8" spans="1:24" s="21" customFormat="1" ht="21" x14ac:dyDescent="0.35">
      <c r="A8" s="49"/>
      <c r="B8" s="3" t="s">
        <v>3</v>
      </c>
      <c r="C8" s="236"/>
      <c r="D8" s="236"/>
      <c r="E8" s="263" t="s">
        <v>8</v>
      </c>
      <c r="F8" s="264" t="s">
        <v>2</v>
      </c>
      <c r="G8" s="54" t="s">
        <v>1</v>
      </c>
      <c r="H8" s="265" t="s">
        <v>0</v>
      </c>
      <c r="I8" s="266" t="s">
        <v>34</v>
      </c>
      <c r="J8" s="266" t="s">
        <v>35</v>
      </c>
      <c r="K8" s="266" t="s">
        <v>177</v>
      </c>
      <c r="L8" s="267" t="s">
        <v>178</v>
      </c>
      <c r="M8" s="266" t="s">
        <v>34</v>
      </c>
      <c r="N8" s="266" t="s">
        <v>35</v>
      </c>
      <c r="O8" s="266" t="s">
        <v>177</v>
      </c>
      <c r="P8" s="267" t="s">
        <v>178</v>
      </c>
      <c r="Q8" s="69"/>
      <c r="R8" s="69"/>
      <c r="S8" s="69"/>
      <c r="T8" s="69"/>
      <c r="U8" s="68"/>
    </row>
    <row r="9" spans="1:24" s="21" customFormat="1" ht="21" x14ac:dyDescent="0.4">
      <c r="A9" s="49"/>
      <c r="B9" s="51"/>
      <c r="C9" s="235" t="s">
        <v>145</v>
      </c>
      <c r="D9" s="235" t="s">
        <v>145</v>
      </c>
      <c r="E9" s="149"/>
      <c r="F9" s="61"/>
      <c r="G9" s="62"/>
      <c r="H9" s="202"/>
      <c r="I9" s="259"/>
      <c r="J9" s="54"/>
      <c r="K9" s="54"/>
      <c r="L9" s="229"/>
      <c r="M9" s="54"/>
      <c r="N9" s="216"/>
      <c r="O9" s="216"/>
      <c r="P9" s="203" t="str">
        <f t="shared" ref="P9:P14" si="0">IF(F9=0," ",(L9*E9))</f>
        <v xml:space="preserve"> </v>
      </c>
      <c r="Q9" s="32"/>
      <c r="R9" s="32"/>
      <c r="S9" s="32"/>
      <c r="T9" s="32"/>
      <c r="U9" s="32"/>
      <c r="V9" s="16"/>
    </row>
    <row r="10" spans="1:24" s="21" customFormat="1" ht="21" x14ac:dyDescent="0.4">
      <c r="A10" s="49"/>
      <c r="B10" s="51"/>
      <c r="C10" s="235"/>
      <c r="D10" s="235"/>
      <c r="E10" s="149"/>
      <c r="F10" s="61"/>
      <c r="G10" s="62"/>
      <c r="H10" s="202"/>
      <c r="I10" s="259"/>
      <c r="J10" s="54"/>
      <c r="K10" s="54"/>
      <c r="L10" s="229"/>
      <c r="M10" s="54"/>
      <c r="N10" s="216"/>
      <c r="O10" s="216"/>
      <c r="P10" s="203"/>
      <c r="Q10" s="32"/>
      <c r="R10" s="32"/>
      <c r="S10" s="32"/>
      <c r="T10" s="32"/>
      <c r="U10" s="32"/>
      <c r="V10" s="16"/>
    </row>
    <row r="11" spans="1:24" s="21" customFormat="1" ht="21" x14ac:dyDescent="0.4">
      <c r="A11" s="49"/>
      <c r="B11" s="346"/>
      <c r="C11" s="235"/>
      <c r="D11" s="235"/>
      <c r="E11" s="149"/>
      <c r="F11" s="61"/>
      <c r="G11" s="62"/>
      <c r="H11" s="202"/>
      <c r="I11" s="259"/>
      <c r="J11" s="54"/>
      <c r="K11" s="54"/>
      <c r="L11" s="229"/>
      <c r="M11" s="54"/>
      <c r="N11" s="216"/>
      <c r="O11" s="216"/>
      <c r="P11" s="203"/>
      <c r="Q11" s="32"/>
      <c r="R11" s="32"/>
      <c r="S11" s="32"/>
      <c r="T11" s="32"/>
      <c r="U11" s="32"/>
      <c r="V11" s="16"/>
    </row>
    <row r="12" spans="1:24" s="21" customFormat="1" ht="21" x14ac:dyDescent="0.4">
      <c r="A12" s="49"/>
      <c r="B12" s="51"/>
      <c r="C12" s="235"/>
      <c r="D12" s="235"/>
      <c r="E12" s="149"/>
      <c r="F12" s="61"/>
      <c r="G12" s="62"/>
      <c r="H12" s="202"/>
      <c r="I12" s="259"/>
      <c r="J12" s="54"/>
      <c r="K12" s="54"/>
      <c r="L12" s="229"/>
      <c r="M12" s="54"/>
      <c r="N12" s="216"/>
      <c r="O12" s="216"/>
      <c r="P12" s="203"/>
      <c r="Q12" s="32"/>
      <c r="R12" s="32"/>
      <c r="S12" s="32"/>
      <c r="T12" s="32"/>
      <c r="U12" s="32"/>
      <c r="V12" s="16"/>
    </row>
    <row r="13" spans="1:24" s="21" customFormat="1" ht="36" x14ac:dyDescent="0.35">
      <c r="A13" s="49"/>
      <c r="B13" s="174" t="s">
        <v>207</v>
      </c>
      <c r="C13" s="175" t="s">
        <v>90</v>
      </c>
      <c r="D13" s="175" t="s">
        <v>91</v>
      </c>
      <c r="E13" s="146"/>
      <c r="F13" s="51"/>
      <c r="G13" s="48"/>
      <c r="H13" s="203"/>
      <c r="I13" s="59"/>
      <c r="J13" s="48"/>
      <c r="K13" s="48"/>
      <c r="L13" s="203"/>
      <c r="M13" s="48"/>
      <c r="N13" s="48"/>
      <c r="O13" s="48"/>
      <c r="P13" s="203" t="str">
        <f t="shared" si="0"/>
        <v xml:space="preserve"> </v>
      </c>
      <c r="Q13" s="32"/>
      <c r="R13" s="32"/>
      <c r="S13" s="32"/>
      <c r="T13" s="32"/>
      <c r="U13" s="32"/>
      <c r="V13" s="16"/>
    </row>
    <row r="14" spans="1:24" s="21" customFormat="1" ht="18" x14ac:dyDescent="0.35">
      <c r="A14" s="49"/>
      <c r="B14" s="51"/>
      <c r="C14" s="173"/>
      <c r="D14" s="176"/>
      <c r="E14" s="146"/>
      <c r="F14" s="51"/>
      <c r="G14" s="48"/>
      <c r="H14" s="203"/>
      <c r="I14" s="59"/>
      <c r="J14" s="177"/>
      <c r="K14" s="177"/>
      <c r="L14" s="230"/>
      <c r="M14" s="177"/>
      <c r="N14" s="177"/>
      <c r="O14" s="177"/>
      <c r="P14" s="203" t="str">
        <f t="shared" si="0"/>
        <v xml:space="preserve"> </v>
      </c>
      <c r="Q14" s="32"/>
      <c r="R14" s="32"/>
      <c r="S14" s="32"/>
      <c r="T14" s="32"/>
      <c r="U14" s="32"/>
      <c r="V14" s="16"/>
    </row>
    <row r="15" spans="1:24" s="21" customFormat="1" ht="18" x14ac:dyDescent="0.35">
      <c r="A15" s="49">
        <v>1</v>
      </c>
      <c r="B15" s="178" t="s">
        <v>233</v>
      </c>
      <c r="C15" s="173">
        <v>1420</v>
      </c>
      <c r="D15" s="179">
        <v>2225</v>
      </c>
      <c r="E15" s="146">
        <v>5</v>
      </c>
      <c r="F15" s="51" t="s">
        <v>12</v>
      </c>
      <c r="G15" s="48">
        <f>I15+J15</f>
        <v>1225</v>
      </c>
      <c r="H15" s="203">
        <f>G15*E15</f>
        <v>6125</v>
      </c>
      <c r="I15" s="59">
        <v>280</v>
      </c>
      <c r="J15" s="48">
        <v>945</v>
      </c>
      <c r="K15" s="48">
        <f>IF(F15=0," ",(I15)*(Details!$C$4+Details!$C$8))</f>
        <v>42.000000000000007</v>
      </c>
      <c r="L15" s="203">
        <f>IF(F15=0," ",(J15)*(Details!$C$6+Details!$C$8))</f>
        <v>141.75000000000003</v>
      </c>
      <c r="M15" s="59">
        <f>+I15*E15</f>
        <v>1400</v>
      </c>
      <c r="N15" s="48">
        <f>+J15*E15</f>
        <v>4725</v>
      </c>
      <c r="O15" s="48">
        <f>IF(F15=0," ",(K15*E15))</f>
        <v>210.00000000000003</v>
      </c>
      <c r="P15" s="203">
        <f>IF(F15=0," ",(L15*E15))</f>
        <v>708.75000000000011</v>
      </c>
      <c r="Q15" s="32"/>
      <c r="R15" s="32"/>
      <c r="S15" s="32"/>
      <c r="T15" s="32"/>
      <c r="U15" s="32"/>
      <c r="V15" s="32"/>
    </row>
    <row r="16" spans="1:24" s="21" customFormat="1" ht="18" x14ac:dyDescent="0.35">
      <c r="A16" s="49"/>
      <c r="B16" s="178"/>
      <c r="C16" s="173"/>
      <c r="D16" s="173"/>
      <c r="E16" s="146"/>
      <c r="F16" s="51"/>
      <c r="G16" s="48"/>
      <c r="H16" s="203"/>
      <c r="I16" s="59"/>
      <c r="J16" s="48"/>
      <c r="K16" s="48"/>
      <c r="L16" s="203"/>
      <c r="M16" s="48"/>
      <c r="N16" s="48"/>
      <c r="O16" s="48"/>
      <c r="P16" s="203"/>
      <c r="Q16" s="32"/>
      <c r="R16" s="32"/>
      <c r="S16" s="32"/>
      <c r="T16" s="32"/>
      <c r="U16" s="32"/>
      <c r="V16" s="16"/>
    </row>
    <row r="17" spans="1:22" s="21" customFormat="1" ht="18" x14ac:dyDescent="0.35">
      <c r="A17" s="75">
        <f>IF(F17&lt;&gt;"",(LARGE(A$8:A16,1)+1),"")</f>
        <v>2</v>
      </c>
      <c r="B17" s="178" t="s">
        <v>346</v>
      </c>
      <c r="C17" s="180">
        <v>685</v>
      </c>
      <c r="D17" s="179">
        <v>2100</v>
      </c>
      <c r="E17" s="146">
        <v>4</v>
      </c>
      <c r="F17" s="51" t="s">
        <v>12</v>
      </c>
      <c r="G17" s="48">
        <f t="shared" ref="G17:G25" si="1">I17+J17</f>
        <v>740</v>
      </c>
      <c r="H17" s="203">
        <f>G17*E17</f>
        <v>2960</v>
      </c>
      <c r="I17" s="59">
        <v>200</v>
      </c>
      <c r="J17" s="48">
        <v>540</v>
      </c>
      <c r="K17" s="48">
        <f>IF(F17=0," ",(I17)*(Details!$C$4+Details!$C$8))</f>
        <v>30.000000000000004</v>
      </c>
      <c r="L17" s="203">
        <f>IF(F17=0," ",(J17)*(Details!$C$6+Details!$C$8))</f>
        <v>81.000000000000014</v>
      </c>
      <c r="M17" s="59">
        <f>+I17*E17</f>
        <v>800</v>
      </c>
      <c r="N17" s="48">
        <f>+J17*E17</f>
        <v>2160</v>
      </c>
      <c r="O17" s="48">
        <f>IF(F17=0," ",(K17*E17))</f>
        <v>120.00000000000001</v>
      </c>
      <c r="P17" s="203">
        <f>IF(F17=0," ",(L17*E17))</f>
        <v>324.00000000000006</v>
      </c>
      <c r="Q17" s="32"/>
      <c r="R17" s="32"/>
      <c r="S17" s="32"/>
      <c r="T17" s="32"/>
      <c r="U17" s="32"/>
      <c r="V17" s="32"/>
    </row>
    <row r="18" spans="1:22" s="21" customFormat="1" ht="18" x14ac:dyDescent="0.35">
      <c r="A18" s="75" t="str">
        <f>IF(F18&lt;&gt;"",(LARGE(A$8:A17,1)+1),"")</f>
        <v/>
      </c>
      <c r="B18" s="178"/>
      <c r="C18" s="180"/>
      <c r="D18" s="179"/>
      <c r="E18" s="146"/>
      <c r="F18" s="51"/>
      <c r="G18" s="48"/>
      <c r="H18" s="203"/>
      <c r="I18" s="59"/>
      <c r="J18" s="48"/>
      <c r="K18" s="48"/>
      <c r="L18" s="203"/>
      <c r="M18" s="48"/>
      <c r="N18" s="48"/>
      <c r="O18" s="48"/>
      <c r="P18" s="203"/>
      <c r="Q18" s="32"/>
      <c r="R18" s="32"/>
      <c r="S18" s="32"/>
      <c r="T18" s="32"/>
      <c r="U18" s="32"/>
      <c r="V18" s="32"/>
    </row>
    <row r="19" spans="1:22" s="21" customFormat="1" ht="18" x14ac:dyDescent="0.35">
      <c r="A19" s="75">
        <f>IF(F19&lt;&gt;"",(LARGE(A$8:A18,1)+1),"")</f>
        <v>3</v>
      </c>
      <c r="B19" s="178" t="s">
        <v>346</v>
      </c>
      <c r="C19" s="180">
        <v>760</v>
      </c>
      <c r="D19" s="179">
        <v>2100</v>
      </c>
      <c r="E19" s="146">
        <v>3</v>
      </c>
      <c r="F19" s="51" t="s">
        <v>12</v>
      </c>
      <c r="G19" s="48">
        <f t="shared" si="1"/>
        <v>810</v>
      </c>
      <c r="H19" s="203">
        <f>G19*E19</f>
        <v>2430</v>
      </c>
      <c r="I19" s="59">
        <v>220</v>
      </c>
      <c r="J19" s="48">
        <v>590</v>
      </c>
      <c r="K19" s="48">
        <f>IF(F19=0," ",(I19)*(Details!$C$4+Details!$C$8))</f>
        <v>33.000000000000007</v>
      </c>
      <c r="L19" s="203">
        <f>IF(F19=0," ",(J19)*(Details!$C$6+Details!$C$8))</f>
        <v>88.500000000000014</v>
      </c>
      <c r="M19" s="59">
        <f>+I19*E19</f>
        <v>660</v>
      </c>
      <c r="N19" s="48">
        <f>+J19*E19</f>
        <v>1770</v>
      </c>
      <c r="O19" s="48">
        <f>IF(F19=0," ",(K19*E19))</f>
        <v>99.000000000000028</v>
      </c>
      <c r="P19" s="203">
        <f>IF(F19=0," ",(L19*E19))</f>
        <v>265.50000000000006</v>
      </c>
      <c r="Q19" s="32"/>
      <c r="R19" s="32"/>
      <c r="S19" s="32"/>
      <c r="T19" s="32"/>
      <c r="U19" s="32"/>
      <c r="V19" s="32"/>
    </row>
    <row r="20" spans="1:22" s="21" customFormat="1" ht="18" x14ac:dyDescent="0.35">
      <c r="A20" s="75" t="str">
        <f>IF(F20&lt;&gt;"",(LARGE(A$8:A19,1)+1),"")</f>
        <v/>
      </c>
      <c r="B20" s="178"/>
      <c r="C20" s="180"/>
      <c r="D20" s="179"/>
      <c r="E20" s="146"/>
      <c r="F20" s="51"/>
      <c r="G20" s="48"/>
      <c r="H20" s="203"/>
      <c r="I20" s="59"/>
      <c r="J20" s="48"/>
      <c r="K20" s="48"/>
      <c r="L20" s="203"/>
      <c r="M20" s="48"/>
      <c r="N20" s="48"/>
      <c r="O20" s="48"/>
      <c r="P20" s="203"/>
      <c r="Q20" s="32"/>
      <c r="R20" s="32"/>
      <c r="S20" s="32"/>
      <c r="T20" s="32"/>
      <c r="U20" s="32"/>
      <c r="V20" s="32"/>
    </row>
    <row r="21" spans="1:22" s="21" customFormat="1" ht="18" x14ac:dyDescent="0.35">
      <c r="A21" s="75">
        <v>4</v>
      </c>
      <c r="B21" s="178" t="s">
        <v>346</v>
      </c>
      <c r="C21" s="180">
        <v>825</v>
      </c>
      <c r="D21" s="179">
        <v>2100</v>
      </c>
      <c r="E21" s="146">
        <v>1</v>
      </c>
      <c r="F21" s="51" t="s">
        <v>12</v>
      </c>
      <c r="G21" s="48">
        <f t="shared" si="1"/>
        <v>850</v>
      </c>
      <c r="H21" s="203">
        <f>G21*E21</f>
        <v>850</v>
      </c>
      <c r="I21" s="59">
        <v>220</v>
      </c>
      <c r="J21" s="48">
        <v>630</v>
      </c>
      <c r="K21" s="48">
        <f>IF(F21=0," ",(I21)*(Details!$C$4+Details!$C$8))</f>
        <v>33.000000000000007</v>
      </c>
      <c r="L21" s="203">
        <f>IF(F21=0," ",(J21)*(Details!$C$6+Details!$C$8))</f>
        <v>94.500000000000014</v>
      </c>
      <c r="M21" s="59">
        <f>+I21*E21</f>
        <v>220</v>
      </c>
      <c r="N21" s="48">
        <f>+J21*E21</f>
        <v>630</v>
      </c>
      <c r="O21" s="48">
        <f>IF(F21=0," ",(K21*E21))</f>
        <v>33.000000000000007</v>
      </c>
      <c r="P21" s="203">
        <f>IF(F21=0," ",(L21*E21))</f>
        <v>94.500000000000014</v>
      </c>
      <c r="Q21" s="32"/>
      <c r="R21" s="32"/>
      <c r="S21" s="32"/>
      <c r="T21" s="32"/>
      <c r="U21" s="32"/>
      <c r="V21" s="32"/>
    </row>
    <row r="22" spans="1:22" s="21" customFormat="1" ht="18" x14ac:dyDescent="0.35">
      <c r="A22" s="75"/>
      <c r="B22" s="178"/>
      <c r="C22" s="180"/>
      <c r="D22" s="179"/>
      <c r="E22" s="146"/>
      <c r="F22" s="51"/>
      <c r="G22" s="48"/>
      <c r="H22" s="203"/>
      <c r="I22" s="59"/>
      <c r="J22" s="48"/>
      <c r="K22" s="48"/>
      <c r="L22" s="203"/>
      <c r="M22" s="48"/>
      <c r="N22" s="48"/>
      <c r="O22" s="48"/>
      <c r="P22" s="203"/>
      <c r="Q22" s="32"/>
      <c r="R22" s="32"/>
      <c r="S22" s="32"/>
      <c r="T22" s="32"/>
      <c r="U22" s="32"/>
      <c r="V22" s="32"/>
    </row>
    <row r="23" spans="1:22" s="21" customFormat="1" ht="18" x14ac:dyDescent="0.35">
      <c r="A23" s="75">
        <v>5</v>
      </c>
      <c r="B23" s="178" t="s">
        <v>348</v>
      </c>
      <c r="C23" s="180">
        <v>1065</v>
      </c>
      <c r="D23" s="179">
        <v>2100</v>
      </c>
      <c r="E23" s="146">
        <v>1</v>
      </c>
      <c r="F23" s="51" t="s">
        <v>12</v>
      </c>
      <c r="G23" s="48">
        <f t="shared" si="1"/>
        <v>1300</v>
      </c>
      <c r="H23" s="203">
        <f>G23*E23</f>
        <v>1300</v>
      </c>
      <c r="I23" s="59">
        <v>280</v>
      </c>
      <c r="J23" s="48">
        <v>1020</v>
      </c>
      <c r="K23" s="48">
        <f>IF(F23=0," ",(I23)*(Details!$C$4+Details!$C$8))</f>
        <v>42.000000000000007</v>
      </c>
      <c r="L23" s="203">
        <f>IF(F23=0," ",(J23)*(Details!$C$6+Details!$C$8))</f>
        <v>153.00000000000003</v>
      </c>
      <c r="M23" s="59">
        <f>+I23*E23</f>
        <v>280</v>
      </c>
      <c r="N23" s="48">
        <f>+J23*E23</f>
        <v>1020</v>
      </c>
      <c r="O23" s="48">
        <f>IF(F23=0," ",(K23*E23))</f>
        <v>42.000000000000007</v>
      </c>
      <c r="P23" s="203">
        <f>IF(F23=0," ",(L23*E23))</f>
        <v>153.00000000000003</v>
      </c>
      <c r="Q23" s="32"/>
      <c r="R23" s="32"/>
      <c r="S23" s="32"/>
      <c r="T23" s="32"/>
      <c r="U23" s="32"/>
      <c r="V23" s="32"/>
    </row>
    <row r="24" spans="1:22" s="21" customFormat="1" ht="18" x14ac:dyDescent="0.35">
      <c r="A24" s="75"/>
      <c r="B24" s="178"/>
      <c r="C24" s="180"/>
      <c r="D24" s="179"/>
      <c r="E24" s="146"/>
      <c r="F24" s="51"/>
      <c r="G24" s="48"/>
      <c r="H24" s="203"/>
      <c r="I24" s="59"/>
      <c r="J24" s="48"/>
      <c r="K24" s="48"/>
      <c r="L24" s="203"/>
      <c r="M24" s="48"/>
      <c r="N24" s="48"/>
      <c r="O24" s="48"/>
      <c r="P24" s="203"/>
      <c r="Q24" s="32"/>
      <c r="R24" s="32"/>
      <c r="S24" s="32"/>
      <c r="T24" s="32"/>
      <c r="U24" s="32"/>
      <c r="V24" s="32"/>
    </row>
    <row r="25" spans="1:22" s="21" customFormat="1" ht="18" x14ac:dyDescent="0.35">
      <c r="A25" s="75">
        <v>6</v>
      </c>
      <c r="B25" s="178" t="s">
        <v>347</v>
      </c>
      <c r="C25" s="180">
        <v>760</v>
      </c>
      <c r="D25" s="179">
        <v>2100</v>
      </c>
      <c r="E25" s="146">
        <v>1</v>
      </c>
      <c r="F25" s="51" t="s">
        <v>12</v>
      </c>
      <c r="G25" s="48">
        <f t="shared" si="1"/>
        <v>1200</v>
      </c>
      <c r="H25" s="203">
        <f>G25*E25</f>
        <v>1200</v>
      </c>
      <c r="I25" s="59">
        <v>260</v>
      </c>
      <c r="J25" s="48">
        <v>940</v>
      </c>
      <c r="K25" s="48">
        <f>IF(F25=0," ",(I25)*(Details!$C$4+Details!$C$8))</f>
        <v>39.000000000000007</v>
      </c>
      <c r="L25" s="203">
        <f>IF(F25=0," ",(J25)*(Details!$C$6+Details!$C$8))</f>
        <v>141.00000000000003</v>
      </c>
      <c r="M25" s="59">
        <f>+I25*E25</f>
        <v>260</v>
      </c>
      <c r="N25" s="48">
        <f>+J25*E25</f>
        <v>940</v>
      </c>
      <c r="O25" s="48">
        <f>IF(F25=0," ",(K25*E25))</f>
        <v>39.000000000000007</v>
      </c>
      <c r="P25" s="203">
        <f>IF(F25=0," ",(L25*E25))</f>
        <v>141.00000000000003</v>
      </c>
      <c r="Q25" s="32"/>
      <c r="R25" s="32"/>
      <c r="S25" s="32"/>
      <c r="T25" s="32"/>
      <c r="U25" s="32"/>
      <c r="V25" s="32"/>
    </row>
    <row r="26" spans="1:22" s="21" customFormat="1" ht="18" x14ac:dyDescent="0.35">
      <c r="A26" s="75"/>
      <c r="B26" s="178"/>
      <c r="C26" s="180"/>
      <c r="D26" s="179"/>
      <c r="E26" s="146"/>
      <c r="F26" s="51"/>
      <c r="G26" s="48"/>
      <c r="H26" s="203"/>
      <c r="I26" s="59"/>
      <c r="J26" s="48"/>
      <c r="K26" s="48"/>
      <c r="L26" s="203"/>
      <c r="M26" s="48"/>
      <c r="N26" s="48"/>
      <c r="O26" s="48"/>
      <c r="P26" s="203"/>
      <c r="Q26" s="32"/>
      <c r="R26" s="32"/>
      <c r="S26" s="32"/>
      <c r="T26" s="32"/>
      <c r="U26" s="32"/>
      <c r="V26" s="32"/>
    </row>
    <row r="27" spans="1:22" s="21" customFormat="1" ht="18" x14ac:dyDescent="0.35">
      <c r="A27" s="75" t="str">
        <f>IF(F27&lt;&gt;"",(LARGE(A$8:A26,1)+1),"")</f>
        <v/>
      </c>
      <c r="B27" s="178"/>
      <c r="C27" s="173"/>
      <c r="D27" s="182"/>
      <c r="E27" s="154"/>
      <c r="F27" s="51"/>
      <c r="G27" s="48"/>
      <c r="H27" s="203"/>
      <c r="I27" s="59"/>
      <c r="J27" s="48"/>
      <c r="K27" s="48"/>
      <c r="L27" s="203"/>
      <c r="M27" s="48"/>
      <c r="N27" s="48"/>
      <c r="O27" s="48"/>
      <c r="P27" s="203"/>
      <c r="Q27" s="32"/>
      <c r="R27" s="32"/>
      <c r="S27" s="32"/>
      <c r="T27" s="32"/>
      <c r="U27" s="32"/>
      <c r="V27" s="16"/>
    </row>
    <row r="28" spans="1:22" s="21" customFormat="1" ht="36" x14ac:dyDescent="0.35">
      <c r="A28" s="75" t="str">
        <f>IF(F28&lt;&gt;"",(LARGE(A$8:A27,1)+1),"")</f>
        <v/>
      </c>
      <c r="B28" s="174" t="s">
        <v>89</v>
      </c>
      <c r="C28" s="175" t="s">
        <v>90</v>
      </c>
      <c r="D28" s="175" t="s">
        <v>92</v>
      </c>
      <c r="E28" s="146"/>
      <c r="F28" s="51"/>
      <c r="G28" s="48"/>
      <c r="H28" s="203"/>
      <c r="I28" s="59"/>
      <c r="J28" s="48"/>
      <c r="K28" s="48" t="str">
        <f>IF(F28=0," ",(I28)*(Details!$C$4+Details!$C$8))</f>
        <v xml:space="preserve"> </v>
      </c>
      <c r="L28" s="203" t="str">
        <f>IF(F28=0," ",(J28)*(Details!$C$6+Details!$C$8))</f>
        <v xml:space="preserve"> </v>
      </c>
      <c r="M28" s="59"/>
      <c r="N28" s="48"/>
      <c r="O28" s="48" t="str">
        <f t="shared" ref="O28" si="2">IF(F28=0," ",(K28*E28))</f>
        <v xml:space="preserve"> </v>
      </c>
      <c r="P28" s="203" t="str">
        <f t="shared" ref="P28" si="3">IF(F28=0," ",(L28*E28))</f>
        <v xml:space="preserve"> </v>
      </c>
      <c r="Q28" s="32"/>
      <c r="R28" s="32"/>
      <c r="S28" s="32"/>
      <c r="T28" s="32"/>
      <c r="U28" s="32"/>
      <c r="V28" s="16"/>
    </row>
    <row r="29" spans="1:22" s="21" customFormat="1" ht="18" x14ac:dyDescent="0.35">
      <c r="A29" s="75" t="str">
        <f>IF(F29&lt;&gt;"",(LARGE(A$8:A28,1)+1),"")</f>
        <v/>
      </c>
      <c r="B29" s="178"/>
      <c r="C29" s="173"/>
      <c r="D29" s="173"/>
      <c r="E29" s="146"/>
      <c r="F29" s="51"/>
      <c r="G29" s="48"/>
      <c r="H29" s="203"/>
      <c r="I29" s="59"/>
      <c r="J29" s="48"/>
      <c r="K29" s="48"/>
      <c r="L29" s="203"/>
      <c r="M29" s="48"/>
      <c r="N29" s="48"/>
      <c r="O29" s="48"/>
      <c r="P29" s="203"/>
      <c r="Q29" s="32"/>
      <c r="R29" s="32"/>
      <c r="S29" s="32"/>
      <c r="T29" s="32"/>
      <c r="U29" s="32"/>
      <c r="V29" s="16"/>
    </row>
    <row r="30" spans="1:22" s="21" customFormat="1" ht="18" x14ac:dyDescent="0.35">
      <c r="A30" s="75">
        <f>IF(F30&lt;&gt;"",(LARGE(A$8:A29,1)+1),"")</f>
        <v>7</v>
      </c>
      <c r="B30" s="181" t="s">
        <v>349</v>
      </c>
      <c r="C30" s="180">
        <v>1230</v>
      </c>
      <c r="D30" s="179">
        <v>3800</v>
      </c>
      <c r="E30" s="146">
        <v>1</v>
      </c>
      <c r="F30" s="51" t="s">
        <v>12</v>
      </c>
      <c r="G30" s="48">
        <f t="shared" ref="G30" si="4">I30+J30</f>
        <v>2280</v>
      </c>
      <c r="H30" s="203">
        <f>G30*E30</f>
        <v>2280</v>
      </c>
      <c r="I30" s="59">
        <v>300</v>
      </c>
      <c r="J30" s="48">
        <v>1980</v>
      </c>
      <c r="K30" s="48">
        <f>IF(F30=0," ",(I30)*(Details!$C$4+Details!$C$8))</f>
        <v>45.000000000000007</v>
      </c>
      <c r="L30" s="203">
        <f>IF(F30=0," ",(J30)*(Details!$C$6+Details!$C$8))</f>
        <v>297.00000000000006</v>
      </c>
      <c r="M30" s="59">
        <f t="shared" ref="M30" si="5">+I30*E30</f>
        <v>300</v>
      </c>
      <c r="N30" s="48">
        <f t="shared" ref="N30" si="6">+J30*E30</f>
        <v>1980</v>
      </c>
      <c r="O30" s="48">
        <f t="shared" ref="O30" si="7">IF(F30=0," ",(K30*E30))</f>
        <v>45.000000000000007</v>
      </c>
      <c r="P30" s="203">
        <f t="shared" ref="P30" si="8">IF(F30=0," ",(L30*E30))</f>
        <v>297.00000000000006</v>
      </c>
      <c r="Q30" s="32"/>
      <c r="R30" s="32"/>
      <c r="S30" s="32"/>
      <c r="T30" s="32"/>
      <c r="U30" s="32"/>
      <c r="V30" s="32"/>
    </row>
    <row r="31" spans="1:22" s="21" customFormat="1" ht="18" x14ac:dyDescent="0.35">
      <c r="A31" s="75" t="str">
        <f>IF(F31&lt;&gt;"",(LARGE(A$8:A30,1)+1),"")</f>
        <v/>
      </c>
      <c r="B31" s="178"/>
      <c r="C31" s="173"/>
      <c r="D31" s="173"/>
      <c r="E31" s="154"/>
      <c r="F31" s="51"/>
      <c r="G31" s="48"/>
      <c r="H31" s="203"/>
      <c r="I31" s="59"/>
      <c r="J31" s="48"/>
      <c r="K31" s="48"/>
      <c r="L31" s="203"/>
      <c r="M31" s="48"/>
      <c r="N31" s="48"/>
      <c r="O31" s="48"/>
      <c r="P31" s="203"/>
      <c r="Q31" s="32"/>
      <c r="R31" s="32"/>
      <c r="S31" s="32"/>
      <c r="T31" s="32"/>
      <c r="U31" s="32"/>
      <c r="V31" s="16"/>
    </row>
    <row r="32" spans="1:22" s="21" customFormat="1" ht="18" x14ac:dyDescent="0.35">
      <c r="A32" s="75" t="str">
        <f>IF(F32&lt;&gt;"",(LARGE(A$8:A31,1)+1),"")</f>
        <v/>
      </c>
      <c r="B32" s="181"/>
      <c r="C32" s="180"/>
      <c r="D32" s="182"/>
      <c r="E32" s="146"/>
      <c r="F32" s="51"/>
      <c r="G32" s="48"/>
      <c r="H32" s="203"/>
      <c r="I32" s="218"/>
      <c r="J32" s="20"/>
      <c r="K32" s="48"/>
      <c r="L32" s="203"/>
      <c r="M32" s="48"/>
      <c r="N32" s="48"/>
      <c r="O32" s="48"/>
      <c r="P32" s="203"/>
      <c r="Q32" s="69"/>
      <c r="R32" s="72">
        <f>+H34-M34-N34-P34-O34</f>
        <v>-2571.7500000000005</v>
      </c>
      <c r="S32" s="69"/>
      <c r="T32" s="69"/>
      <c r="U32" s="68"/>
    </row>
    <row r="33" spans="1:24" s="21" customFormat="1" ht="18" x14ac:dyDescent="0.35">
      <c r="A33" s="75" t="str">
        <f>IF(F33&lt;&gt;"",(LARGE(A$8:A32,1)+1),"")</f>
        <v/>
      </c>
      <c r="B33" s="178"/>
      <c r="C33" s="173"/>
      <c r="D33" s="182"/>
      <c r="E33" s="146"/>
      <c r="F33" s="51"/>
      <c r="G33" s="48"/>
      <c r="H33" s="203"/>
      <c r="I33" s="218"/>
      <c r="J33" s="20"/>
      <c r="K33" s="48" t="str">
        <f>IF(F33=0," ",(I33)*(Details!$C$4+Details!$C$8))</f>
        <v xml:space="preserve"> </v>
      </c>
      <c r="L33" s="203" t="str">
        <f>IF(F33=0," ",(J33)*(Details!$C$6+Details!$C$8))</f>
        <v xml:space="preserve"> </v>
      </c>
      <c r="M33" s="59"/>
      <c r="N33" s="48"/>
      <c r="O33" s="48"/>
      <c r="P33" s="203"/>
      <c r="Q33" s="69"/>
      <c r="R33" s="69"/>
      <c r="S33" s="69"/>
      <c r="T33" s="69"/>
      <c r="U33" s="68"/>
    </row>
    <row r="34" spans="1:24" s="21" customFormat="1" ht="18" customHeight="1" thickBot="1" x14ac:dyDescent="0.4">
      <c r="A34" s="75" t="str">
        <f>IF(F34=0," ",(LARGE(A$13:A33,1)+1))</f>
        <v xml:space="preserve"> </v>
      </c>
      <c r="B34" s="181"/>
      <c r="C34" s="180"/>
      <c r="D34" s="183"/>
      <c r="E34" s="146"/>
      <c r="F34" s="60"/>
      <c r="G34" s="62" t="s">
        <v>115</v>
      </c>
      <c r="H34" s="204">
        <f>SUM(H1:H33)</f>
        <v>17145</v>
      </c>
      <c r="I34" s="218"/>
      <c r="J34" s="20"/>
      <c r="K34" s="20"/>
      <c r="L34" s="203" t="str">
        <f>IF(F34=0," ",(I34+J34)*(Details!$C$4+Details!$C$6))</f>
        <v xml:space="preserve"> </v>
      </c>
      <c r="M34" s="252">
        <f>SUM(M4:M33)</f>
        <v>3920</v>
      </c>
      <c r="N34" s="253">
        <f>SUM(N4:N33)</f>
        <v>13225</v>
      </c>
      <c r="O34" s="253">
        <f>SUM(O4:O33)</f>
        <v>588.00000000000011</v>
      </c>
      <c r="P34" s="204">
        <f>SUM(P9:P33)</f>
        <v>1983.7500000000002</v>
      </c>
      <c r="Q34" s="69"/>
      <c r="R34" s="69"/>
      <c r="S34" s="69"/>
      <c r="T34" s="69"/>
      <c r="U34" s="69"/>
      <c r="V34" s="69"/>
    </row>
    <row r="35" spans="1:24" s="21" customFormat="1" ht="19.2" thickTop="1" thickBot="1" x14ac:dyDescent="0.4">
      <c r="A35" s="50"/>
      <c r="B35" s="184"/>
      <c r="C35" s="185"/>
      <c r="D35" s="186"/>
      <c r="E35" s="159"/>
      <c r="F35" s="63"/>
      <c r="G35" s="65"/>
      <c r="H35" s="205"/>
      <c r="I35" s="219"/>
      <c r="J35" s="56"/>
      <c r="K35" s="56"/>
      <c r="L35" s="67" t="str">
        <f>IF(F35=0," ",(I35+J35)*(Details!$C$4+Details!$C$6))</f>
        <v xml:space="preserve"> </v>
      </c>
      <c r="M35" s="56"/>
      <c r="N35" s="56"/>
      <c r="O35" s="56"/>
      <c r="P35" s="189"/>
      <c r="Q35" s="69"/>
      <c r="R35" s="69"/>
      <c r="S35" s="69"/>
      <c r="T35" s="69"/>
      <c r="U35" s="69"/>
      <c r="V35" s="70"/>
    </row>
    <row r="36" spans="1:24" s="21" customFormat="1" x14ac:dyDescent="0.3">
      <c r="A36" s="16"/>
      <c r="B36" s="16"/>
      <c r="C36" s="70"/>
      <c r="D36" s="70"/>
      <c r="E36" s="32"/>
      <c r="F36" s="16"/>
      <c r="G36" s="20"/>
      <c r="H36" s="20"/>
      <c r="I36" s="20"/>
      <c r="J36" s="20"/>
      <c r="K36" s="20"/>
      <c r="L36" s="16"/>
      <c r="M36" s="16"/>
      <c r="N36" s="16"/>
      <c r="O36" s="16"/>
      <c r="P36" s="16"/>
      <c r="Q36" s="69"/>
      <c r="R36" s="69"/>
      <c r="S36" s="69"/>
      <c r="T36" s="69"/>
      <c r="U36" s="69"/>
      <c r="V36" s="70"/>
      <c r="W36" s="16"/>
      <c r="X36" s="16"/>
    </row>
    <row r="37" spans="1:24" s="21" customFormat="1" x14ac:dyDescent="0.3">
      <c r="A37" s="16"/>
      <c r="B37" s="16"/>
      <c r="C37" s="70"/>
      <c r="D37" s="70"/>
      <c r="E37" s="32"/>
      <c r="F37" s="16"/>
      <c r="G37" s="20"/>
      <c r="H37" s="20"/>
      <c r="I37" s="20"/>
      <c r="J37" s="20"/>
      <c r="K37" s="20"/>
      <c r="L37" s="16"/>
      <c r="M37" s="16"/>
      <c r="N37" s="16"/>
      <c r="O37" s="16"/>
      <c r="P37" s="16"/>
      <c r="Q37" s="69"/>
      <c r="R37" s="69"/>
      <c r="S37" s="69"/>
      <c r="T37" s="69"/>
      <c r="U37" s="32"/>
      <c r="V37" s="16"/>
      <c r="W37" s="16"/>
      <c r="X37" s="16"/>
    </row>
    <row r="38" spans="1:24" s="21" customFormat="1" x14ac:dyDescent="0.3">
      <c r="A38" s="16"/>
      <c r="B38" s="16"/>
      <c r="C38" s="70"/>
      <c r="D38" s="70"/>
      <c r="E38" s="32"/>
      <c r="F38" s="16"/>
      <c r="G38" s="20"/>
      <c r="H38" s="20"/>
      <c r="I38" s="20"/>
      <c r="J38" s="20"/>
      <c r="K38" s="20"/>
      <c r="L38" s="16"/>
      <c r="M38" s="16"/>
      <c r="N38" s="16"/>
      <c r="O38" s="16"/>
      <c r="P38" s="16"/>
      <c r="Q38" s="69"/>
      <c r="R38" s="69"/>
      <c r="S38" s="69"/>
      <c r="T38" s="69"/>
      <c r="U38" s="32"/>
      <c r="V38" s="16"/>
      <c r="W38" s="16"/>
      <c r="X38" s="16"/>
    </row>
    <row r="39" spans="1:24" s="21" customFormat="1" x14ac:dyDescent="0.3">
      <c r="A39" s="16"/>
      <c r="B39" s="16"/>
      <c r="C39" s="70"/>
      <c r="D39" s="70"/>
      <c r="E39" s="32"/>
      <c r="F39" s="16"/>
      <c r="G39" s="20"/>
      <c r="H39" s="20"/>
      <c r="I39" s="20"/>
      <c r="J39" s="20"/>
      <c r="K39" s="20"/>
      <c r="L39" s="16"/>
      <c r="M39" s="16"/>
      <c r="N39" s="16"/>
      <c r="O39" s="16"/>
      <c r="P39" s="16"/>
      <c r="Q39" s="69"/>
      <c r="R39" s="69"/>
      <c r="S39" s="69"/>
      <c r="T39" s="69"/>
      <c r="U39" s="32"/>
      <c r="V39" s="16"/>
      <c r="W39" s="16"/>
      <c r="X39" s="16"/>
    </row>
  </sheetData>
  <mergeCells count="2">
    <mergeCell ref="M6:P6"/>
    <mergeCell ref="I6:L6"/>
  </mergeCells>
  <conditionalFormatting sqref="I9:I10442">
    <cfRule type="notContainsBlanks" dxfId="81" priority="1">
      <formula>LEN(TRIM(I9))&gt;0</formula>
    </cfRule>
  </conditionalFormatting>
  <conditionalFormatting sqref="J17:J33">
    <cfRule type="notContainsBlanks" dxfId="80" priority="2">
      <formula>LEN(TRIM(J17))&gt;0</formula>
    </cfRule>
  </conditionalFormatting>
  <conditionalFormatting sqref="J9:K14 J15 J16:K16 K27 K29 K31:K32 J34:K10532">
    <cfRule type="notContainsBlanks" dxfId="79" priority="47">
      <formula>LEN(TRIM(J9))&gt;0</formula>
    </cfRule>
  </conditionalFormatting>
  <conditionalFormatting sqref="R32">
    <cfRule type="cellIs" dxfId="78" priority="43" operator="equal">
      <formula>0</formula>
    </cfRule>
    <cfRule type="cellIs" dxfId="77" priority="44" operator="notBetween">
      <formula>-0.01</formula>
      <formula>0.01</formula>
    </cfRule>
  </conditionalFormatting>
  <dataValidations disablePrompts="1" count="1">
    <dataValidation type="list" allowBlank="1" showInputMessage="1" showErrorMessage="1" sqref="R2:S2" xr:uid="{00000000-0002-0000-0900-000000000000}">
      <formula1>"UPVC,Aluminium,Timber,Composite,Crittall, Multiple"</formula1>
    </dataValidation>
  </dataValidations>
  <printOptions horizontalCentered="1"/>
  <pageMargins left="0.70866141732283461" right="0.70866141732283461" top="0.31496062992125984" bottom="0.62992125984251968" header="0.31496062992125984" footer="0.31496062992125984"/>
  <pageSetup paperSize="9" scale="65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>
    <pageSetUpPr fitToPage="1"/>
  </sheetPr>
  <dimension ref="A1:P101"/>
  <sheetViews>
    <sheetView zoomScale="87" zoomScaleNormal="40" workbookViewId="0">
      <selection activeCell="E13" sqref="E13"/>
    </sheetView>
  </sheetViews>
  <sheetFormatPr defaultColWidth="9.109375" defaultRowHeight="15.6" x14ac:dyDescent="0.3"/>
  <cols>
    <col min="1" max="1" width="5.44140625" style="16" customWidth="1"/>
    <col min="2" max="2" width="80.77734375" style="21" customWidth="1"/>
    <col min="3" max="3" width="12.44140625" style="32" customWidth="1"/>
    <col min="4" max="4" width="8.6640625" style="16" customWidth="1"/>
    <col min="5" max="6" width="15.6640625" style="20" customWidth="1"/>
    <col min="7" max="9" width="14.33203125" style="20" customWidth="1"/>
    <col min="10" max="10" width="14.33203125" style="16" customWidth="1"/>
    <col min="11" max="13" width="15.6640625" style="20" customWidth="1"/>
    <col min="14" max="14" width="15.6640625" style="16" customWidth="1"/>
    <col min="15" max="16384" width="9.109375" style="16"/>
  </cols>
  <sheetData>
    <row r="1" spans="1:14" x14ac:dyDescent="0.3">
      <c r="A1" s="29"/>
      <c r="B1" s="23"/>
      <c r="C1" s="31"/>
      <c r="D1" s="24"/>
      <c r="E1" s="33"/>
      <c r="F1" s="34"/>
      <c r="G1" s="33"/>
      <c r="H1" s="33"/>
      <c r="I1" s="33"/>
      <c r="J1" s="24"/>
    </row>
    <row r="2" spans="1:14" x14ac:dyDescent="0.3">
      <c r="A2" s="15"/>
      <c r="B2" s="3" t="str">
        <f>+'Qual, Excl &amp; Assum'!B2</f>
        <v>PROJECT: Mr &amp; Mrs Hawkes-Cowands House</v>
      </c>
      <c r="F2" s="35"/>
    </row>
    <row r="3" spans="1:14" x14ac:dyDescent="0.3">
      <c r="A3" s="15"/>
      <c r="B3" s="53" t="str">
        <f>+'Qual, Excl &amp; Assum'!B3</f>
        <v>DATE: 25TH SEPTEMBER 2025</v>
      </c>
      <c r="F3" s="35"/>
    </row>
    <row r="4" spans="1:14" s="21" customFormat="1" ht="16.2" thickBot="1" x14ac:dyDescent="0.35">
      <c r="A4" s="15"/>
      <c r="B4" s="22"/>
      <c r="C4" s="32"/>
      <c r="E4" s="36"/>
      <c r="F4" s="37"/>
      <c r="G4" s="36"/>
      <c r="H4" s="36"/>
      <c r="I4" s="36"/>
      <c r="K4" s="20"/>
      <c r="L4" s="20"/>
      <c r="M4" s="20"/>
    </row>
    <row r="5" spans="1:14" s="21" customFormat="1" ht="38.25" customHeight="1" thickBot="1" x14ac:dyDescent="0.35">
      <c r="A5" s="210"/>
      <c r="B5" s="211" t="s">
        <v>30</v>
      </c>
      <c r="C5" s="212"/>
      <c r="D5" s="213"/>
      <c r="E5" s="214"/>
      <c r="F5" s="220"/>
      <c r="G5" s="371" t="s">
        <v>138</v>
      </c>
      <c r="H5" s="371"/>
      <c r="I5" s="371"/>
      <c r="J5" s="372"/>
      <c r="K5" s="370" t="s">
        <v>139</v>
      </c>
      <c r="L5" s="371"/>
      <c r="M5" s="371"/>
      <c r="N5" s="372"/>
    </row>
    <row r="6" spans="1:14" s="21" customFormat="1" ht="18" x14ac:dyDescent="0.35">
      <c r="A6" s="49"/>
      <c r="B6" s="38"/>
      <c r="C6" s="146"/>
      <c r="D6" s="38"/>
      <c r="E6" s="64"/>
      <c r="F6" s="201"/>
      <c r="G6" s="64"/>
      <c r="H6" s="64"/>
      <c r="I6" s="64"/>
      <c r="J6" s="206"/>
      <c r="K6" s="218"/>
      <c r="L6" s="20"/>
      <c r="M6" s="20"/>
      <c r="N6" s="27"/>
    </row>
    <row r="7" spans="1:14" s="21" customFormat="1" ht="18" x14ac:dyDescent="0.35">
      <c r="A7" s="49"/>
      <c r="B7" s="3" t="s">
        <v>3</v>
      </c>
      <c r="C7" s="263" t="s">
        <v>8</v>
      </c>
      <c r="D7" s="264" t="s">
        <v>2</v>
      </c>
      <c r="E7" s="54" t="s">
        <v>1</v>
      </c>
      <c r="F7" s="265" t="s">
        <v>0</v>
      </c>
      <c r="G7" s="266" t="s">
        <v>34</v>
      </c>
      <c r="H7" s="266" t="s">
        <v>35</v>
      </c>
      <c r="I7" s="266" t="s">
        <v>177</v>
      </c>
      <c r="J7" s="267" t="s">
        <v>178</v>
      </c>
      <c r="K7" s="266" t="s">
        <v>34</v>
      </c>
      <c r="L7" s="266" t="s">
        <v>35</v>
      </c>
      <c r="M7" s="266" t="s">
        <v>177</v>
      </c>
      <c r="N7" s="267" t="s">
        <v>178</v>
      </c>
    </row>
    <row r="8" spans="1:14" s="21" customFormat="1" ht="18" x14ac:dyDescent="0.35">
      <c r="A8" s="49"/>
      <c r="B8" s="160"/>
      <c r="C8" s="149"/>
      <c r="D8" s="61"/>
      <c r="E8" s="62"/>
      <c r="F8" s="202"/>
      <c r="G8" s="59"/>
      <c r="H8" s="48"/>
      <c r="I8" s="48"/>
      <c r="J8" s="207"/>
      <c r="K8" s="218"/>
      <c r="L8" s="20"/>
      <c r="M8" s="20"/>
      <c r="N8" s="203" t="str">
        <f t="shared" ref="N8" si="0">IF(D8=0," ",(J8*C8))</f>
        <v xml:space="preserve"> </v>
      </c>
    </row>
    <row r="9" spans="1:14" s="21" customFormat="1" ht="18" x14ac:dyDescent="0.35">
      <c r="A9" s="49"/>
      <c r="B9" s="168" t="s">
        <v>25</v>
      </c>
      <c r="C9" s="146"/>
      <c r="D9" s="51"/>
      <c r="E9" s="48"/>
      <c r="F9" s="203"/>
      <c r="G9" s="59"/>
      <c r="H9" s="48"/>
      <c r="I9" s="48"/>
      <c r="J9" s="203"/>
      <c r="K9" s="218"/>
      <c r="L9" s="20"/>
      <c r="M9" s="20"/>
      <c r="N9" s="203"/>
    </row>
    <row r="10" spans="1:14" s="21" customFormat="1" ht="18" x14ac:dyDescent="0.35">
      <c r="A10" s="49"/>
      <c r="B10" s="160"/>
      <c r="C10" s="146"/>
      <c r="D10" s="51"/>
      <c r="E10" s="48"/>
      <c r="F10" s="203"/>
      <c r="G10" s="59"/>
      <c r="H10" s="48"/>
      <c r="I10" s="48"/>
      <c r="J10" s="203"/>
      <c r="K10" s="218"/>
      <c r="L10" s="20"/>
      <c r="M10" s="20"/>
      <c r="N10" s="203"/>
    </row>
    <row r="11" spans="1:14" s="21" customFormat="1" ht="18" x14ac:dyDescent="0.35">
      <c r="A11" s="49">
        <v>1</v>
      </c>
      <c r="B11" s="350" t="s">
        <v>350</v>
      </c>
      <c r="C11" s="146"/>
      <c r="D11" s="51"/>
      <c r="E11" s="48"/>
      <c r="F11" s="203"/>
      <c r="G11" s="59"/>
      <c r="H11" s="48"/>
      <c r="I11" s="48"/>
      <c r="J11" s="203"/>
      <c r="K11" s="218"/>
      <c r="L11" s="20"/>
      <c r="M11" s="20"/>
      <c r="N11" s="203"/>
    </row>
    <row r="12" spans="1:14" s="21" customFormat="1" ht="18" x14ac:dyDescent="0.35">
      <c r="A12" s="49"/>
      <c r="B12" s="350"/>
      <c r="C12" s="146"/>
      <c r="D12" s="51"/>
      <c r="E12" s="48"/>
      <c r="F12" s="203"/>
      <c r="G12" s="59"/>
      <c r="H12" s="48"/>
      <c r="I12" s="48"/>
      <c r="J12" s="203"/>
      <c r="K12" s="218"/>
      <c r="L12" s="20"/>
      <c r="M12" s="20"/>
      <c r="N12" s="203"/>
    </row>
    <row r="13" spans="1:14" s="21" customFormat="1" ht="18" x14ac:dyDescent="0.35">
      <c r="A13" s="49">
        <v>2</v>
      </c>
      <c r="B13" s="153" t="s">
        <v>351</v>
      </c>
      <c r="C13" s="146">
        <v>12.25</v>
      </c>
      <c r="D13" s="51" t="s">
        <v>10</v>
      </c>
      <c r="E13" s="48">
        <f>G13+H13</f>
        <v>39.9</v>
      </c>
      <c r="F13" s="203">
        <f>E13*C13</f>
        <v>488.77499999999998</v>
      </c>
      <c r="G13" s="59">
        <v>13.4</v>
      </c>
      <c r="H13" s="48">
        <v>26.5</v>
      </c>
      <c r="I13" s="48">
        <f>IF(D13=0," ",(G13)*(Details!$C$4+Details!$C$8))</f>
        <v>2.0100000000000002</v>
      </c>
      <c r="J13" s="203">
        <f>IF(D13=0," ",(H13)*(Details!$C$6+Details!$C$8))</f>
        <v>3.9750000000000005</v>
      </c>
      <c r="K13" s="59">
        <f t="shared" ref="K13" si="1">+G13*C13</f>
        <v>164.15</v>
      </c>
      <c r="L13" s="48">
        <f t="shared" ref="L13" si="2">+H13*C13</f>
        <v>324.625</v>
      </c>
      <c r="M13" s="48">
        <f t="shared" ref="M13" si="3">IF(D13=0," ",(I13*C13))</f>
        <v>24.622500000000002</v>
      </c>
      <c r="N13" s="203">
        <f t="shared" ref="N13" si="4">IF(D13=0," ",(J13*C13))</f>
        <v>48.693750000000009</v>
      </c>
    </row>
    <row r="14" spans="1:14" s="21" customFormat="1" ht="18" x14ac:dyDescent="0.35">
      <c r="A14" s="49"/>
      <c r="B14" s="153"/>
      <c r="C14" s="146"/>
      <c r="D14" s="51"/>
      <c r="E14" s="48"/>
      <c r="F14" s="203"/>
      <c r="G14" s="59"/>
      <c r="H14" s="48"/>
      <c r="I14" s="48"/>
      <c r="J14" s="203"/>
      <c r="K14" s="59"/>
      <c r="L14" s="48"/>
      <c r="M14" s="48"/>
      <c r="N14" s="203"/>
    </row>
    <row r="15" spans="1:14" s="21" customFormat="1" ht="18" x14ac:dyDescent="0.35">
      <c r="A15" s="75">
        <v>3</v>
      </c>
      <c r="B15" s="153" t="s">
        <v>301</v>
      </c>
      <c r="C15" s="146">
        <v>10</v>
      </c>
      <c r="D15" s="51" t="s">
        <v>13</v>
      </c>
      <c r="E15" s="48">
        <f t="shared" ref="E15:E19" si="5">G15+H15</f>
        <v>22.4</v>
      </c>
      <c r="F15" s="203">
        <f t="shared" ref="F15:F19" si="6">E15*C15</f>
        <v>224</v>
      </c>
      <c r="G15" s="59">
        <v>9</v>
      </c>
      <c r="H15" s="48">
        <v>13.4</v>
      </c>
      <c r="I15" s="48">
        <f>IF(D15=0," ",(G15)*(Details!$C$4+Details!$C$8))</f>
        <v>1.35</v>
      </c>
      <c r="J15" s="203">
        <f>IF(D15=0," ",(H15)*(Details!$C$6+Details!$C$8))</f>
        <v>2.0100000000000002</v>
      </c>
      <c r="K15" s="59">
        <f t="shared" ref="K15:K19" si="7">+G15*C15</f>
        <v>90</v>
      </c>
      <c r="L15" s="48">
        <f t="shared" ref="L15:L19" si="8">+H15*C15</f>
        <v>134</v>
      </c>
      <c r="M15" s="48">
        <f t="shared" ref="M15:M19" si="9">IF(D15=0," ",(I15*C15))</f>
        <v>13.5</v>
      </c>
      <c r="N15" s="203">
        <f t="shared" ref="N15:N19" si="10">IF(D15=0," ",(J15*C15))</f>
        <v>20.100000000000001</v>
      </c>
    </row>
    <row r="16" spans="1:14" s="21" customFormat="1" ht="18" x14ac:dyDescent="0.35">
      <c r="A16" s="75"/>
      <c r="B16" s="153"/>
      <c r="C16" s="146"/>
      <c r="D16" s="51"/>
      <c r="E16" s="48"/>
      <c r="F16" s="203"/>
      <c r="G16" s="59"/>
      <c r="H16" s="48"/>
      <c r="I16" s="48"/>
      <c r="J16" s="203"/>
      <c r="K16" s="59"/>
      <c r="L16" s="48"/>
      <c r="M16" s="48"/>
      <c r="N16" s="203"/>
    </row>
    <row r="17" spans="1:14" s="21" customFormat="1" ht="18" x14ac:dyDescent="0.35">
      <c r="A17" s="75">
        <f>IF(F17&lt;&gt;"",(LARGE(A$7:A15,1)+1),"")</f>
        <v>4</v>
      </c>
      <c r="B17" s="153" t="s">
        <v>302</v>
      </c>
      <c r="C17" s="146">
        <v>5</v>
      </c>
      <c r="D17" s="60" t="s">
        <v>13</v>
      </c>
      <c r="E17" s="48">
        <f t="shared" si="5"/>
        <v>22.4</v>
      </c>
      <c r="F17" s="203">
        <f t="shared" si="6"/>
        <v>112</v>
      </c>
      <c r="G17" s="59">
        <v>9</v>
      </c>
      <c r="H17" s="48">
        <v>13.4</v>
      </c>
      <c r="I17" s="48">
        <f>IF(D17=0," ",(G17)*(Details!$C$4+Details!$C$8))</f>
        <v>1.35</v>
      </c>
      <c r="J17" s="203">
        <f>IF(D17=0," ",(H17)*(Details!$C$6+Details!$C$8))</f>
        <v>2.0100000000000002</v>
      </c>
      <c r="K17" s="59">
        <f t="shared" si="7"/>
        <v>45</v>
      </c>
      <c r="L17" s="48">
        <f t="shared" si="8"/>
        <v>67</v>
      </c>
      <c r="M17" s="48">
        <f t="shared" si="9"/>
        <v>6.75</v>
      </c>
      <c r="N17" s="203">
        <f t="shared" si="10"/>
        <v>10.050000000000001</v>
      </c>
    </row>
    <row r="18" spans="1:14" s="21" customFormat="1" ht="18" x14ac:dyDescent="0.35">
      <c r="A18" s="75"/>
      <c r="B18" s="153"/>
      <c r="C18" s="146"/>
      <c r="D18" s="60"/>
      <c r="E18" s="48"/>
      <c r="F18" s="203"/>
      <c r="G18" s="59"/>
      <c r="H18" s="48"/>
      <c r="I18" s="48"/>
      <c r="J18" s="203"/>
      <c r="K18" s="59"/>
      <c r="L18" s="48"/>
      <c r="M18" s="48"/>
      <c r="N18" s="203"/>
    </row>
    <row r="19" spans="1:14" s="21" customFormat="1" ht="18" x14ac:dyDescent="0.35">
      <c r="A19" s="75">
        <f>IF(F19&lt;&gt;"",(LARGE(A$7:A17,1)+1),"")</f>
        <v>5</v>
      </c>
      <c r="B19" s="153" t="s">
        <v>352</v>
      </c>
      <c r="C19" s="146">
        <v>12.25</v>
      </c>
      <c r="D19" s="51" t="s">
        <v>10</v>
      </c>
      <c r="E19" s="48">
        <f t="shared" si="5"/>
        <v>19.399999999999999</v>
      </c>
      <c r="F19" s="203">
        <f t="shared" si="6"/>
        <v>237.64999999999998</v>
      </c>
      <c r="G19" s="59">
        <v>8</v>
      </c>
      <c r="H19" s="48">
        <v>11.4</v>
      </c>
      <c r="I19" s="48">
        <f>IF(D19=0," ",(G19)*(Details!$C$4+Details!$C$8))</f>
        <v>1.2000000000000002</v>
      </c>
      <c r="J19" s="203">
        <f>IF(D19=0," ",(H19)*(Details!$C$6+Details!$C$8))</f>
        <v>1.7100000000000004</v>
      </c>
      <c r="K19" s="59">
        <f t="shared" si="7"/>
        <v>98</v>
      </c>
      <c r="L19" s="48">
        <f t="shared" si="8"/>
        <v>139.65</v>
      </c>
      <c r="M19" s="48">
        <f t="shared" si="9"/>
        <v>14.700000000000003</v>
      </c>
      <c r="N19" s="203">
        <f t="shared" si="10"/>
        <v>20.947500000000005</v>
      </c>
    </row>
    <row r="20" spans="1:14" s="21" customFormat="1" ht="18" x14ac:dyDescent="0.35">
      <c r="A20" s="75" t="str">
        <f>IF(F20&lt;&gt;"",(LARGE(A$7:A19,1)+1),"")</f>
        <v/>
      </c>
      <c r="B20" s="153"/>
      <c r="C20" s="146"/>
      <c r="D20" s="60"/>
      <c r="E20" s="48"/>
      <c r="F20" s="203"/>
      <c r="G20" s="59"/>
      <c r="H20" s="48"/>
      <c r="I20" s="48"/>
      <c r="J20" s="203"/>
      <c r="K20" s="218"/>
      <c r="L20" s="20"/>
      <c r="M20" s="20"/>
      <c r="N20" s="203"/>
    </row>
    <row r="21" spans="1:14" s="21" customFormat="1" ht="18" x14ac:dyDescent="0.35">
      <c r="A21" s="75" t="str">
        <f>IF(F21&lt;&gt;"",(LARGE(A$7:A20,1)+1),"")</f>
        <v/>
      </c>
      <c r="B21" s="350" t="s">
        <v>353</v>
      </c>
      <c r="C21" s="146"/>
      <c r="D21" s="51"/>
      <c r="E21" s="48"/>
      <c r="F21" s="203"/>
      <c r="G21" s="59"/>
      <c r="H21" s="48"/>
      <c r="I21" s="48"/>
      <c r="J21" s="203"/>
      <c r="K21" s="218"/>
      <c r="L21" s="20"/>
      <c r="M21" s="20"/>
      <c r="N21" s="203"/>
    </row>
    <row r="22" spans="1:14" s="21" customFormat="1" ht="18" x14ac:dyDescent="0.35">
      <c r="A22" s="75"/>
      <c r="B22" s="350"/>
      <c r="C22" s="146"/>
      <c r="D22" s="51"/>
      <c r="E22" s="48"/>
      <c r="F22" s="203"/>
      <c r="G22" s="59"/>
      <c r="H22" s="48"/>
      <c r="I22" s="48"/>
      <c r="J22" s="203"/>
      <c r="K22" s="218"/>
      <c r="L22" s="20"/>
      <c r="M22" s="20"/>
      <c r="N22" s="203"/>
    </row>
    <row r="23" spans="1:14" s="21" customFormat="1" ht="18" x14ac:dyDescent="0.35">
      <c r="A23" s="75">
        <f>IF(F23&lt;&gt;"",(LARGE(A$7:A21,1)+1),"")</f>
        <v>6</v>
      </c>
      <c r="B23" s="153" t="s">
        <v>351</v>
      </c>
      <c r="C23" s="146">
        <v>9.8000000000000007</v>
      </c>
      <c r="D23" s="51" t="s">
        <v>10</v>
      </c>
      <c r="E23" s="48">
        <f t="shared" ref="E23:E31" si="11">G23+H23</f>
        <v>39.9</v>
      </c>
      <c r="F23" s="203">
        <f t="shared" ref="F23:F31" si="12">E23*C23</f>
        <v>391.02000000000004</v>
      </c>
      <c r="G23" s="59">
        <v>13.4</v>
      </c>
      <c r="H23" s="48">
        <v>26.5</v>
      </c>
      <c r="I23" s="48">
        <f>IF(D23=0," ",(G23)*(Details!$C$4+Details!$C$8))</f>
        <v>2.0100000000000002</v>
      </c>
      <c r="J23" s="203">
        <f>IF(D23=0," ",(H23)*(Details!$C$6+Details!$C$8))</f>
        <v>3.9750000000000005</v>
      </c>
      <c r="K23" s="59">
        <f t="shared" ref="K23:K31" si="13">+G23*C23</f>
        <v>131.32000000000002</v>
      </c>
      <c r="L23" s="48">
        <f t="shared" ref="L23:L31" si="14">+H23*C23</f>
        <v>259.70000000000005</v>
      </c>
      <c r="M23" s="48">
        <f t="shared" ref="M23:M31" si="15">IF(D23=0," ",(I23*C23))</f>
        <v>19.698000000000004</v>
      </c>
      <c r="N23" s="203">
        <f t="shared" ref="N23:N31" si="16">IF(D23=0," ",(J23*C23))</f>
        <v>38.955000000000005</v>
      </c>
    </row>
    <row r="24" spans="1:14" s="21" customFormat="1" ht="18" x14ac:dyDescent="0.35">
      <c r="A24" s="75"/>
      <c r="B24" s="153"/>
      <c r="C24" s="146"/>
      <c r="D24" s="51"/>
      <c r="E24" s="48"/>
      <c r="F24" s="203"/>
      <c r="G24" s="59"/>
      <c r="H24" s="48"/>
      <c r="I24" s="48"/>
      <c r="J24" s="203"/>
      <c r="K24" s="59"/>
      <c r="L24" s="48"/>
      <c r="M24" s="48"/>
      <c r="N24" s="203"/>
    </row>
    <row r="25" spans="1:14" s="21" customFormat="1" ht="18" x14ac:dyDescent="0.35">
      <c r="A25" s="75">
        <f>IF(F25&lt;&gt;"",(LARGE(A$7:A23,1)+1),"")</f>
        <v>7</v>
      </c>
      <c r="B25" s="153" t="s">
        <v>301</v>
      </c>
      <c r="C25" s="146">
        <v>8</v>
      </c>
      <c r="D25" s="51" t="s">
        <v>13</v>
      </c>
      <c r="E25" s="48">
        <f t="shared" si="11"/>
        <v>22.4</v>
      </c>
      <c r="F25" s="203">
        <f t="shared" si="12"/>
        <v>179.2</v>
      </c>
      <c r="G25" s="59">
        <v>9</v>
      </c>
      <c r="H25" s="48">
        <v>13.4</v>
      </c>
      <c r="I25" s="48">
        <f>IF(D25=0," ",(G25)*(Details!$C$4+Details!$C$8))</f>
        <v>1.35</v>
      </c>
      <c r="J25" s="203">
        <f>IF(D25=0," ",(H25)*(Details!$C$6+Details!$C$8))</f>
        <v>2.0100000000000002</v>
      </c>
      <c r="K25" s="59">
        <f t="shared" si="13"/>
        <v>72</v>
      </c>
      <c r="L25" s="48">
        <f t="shared" si="14"/>
        <v>107.2</v>
      </c>
      <c r="M25" s="48">
        <f t="shared" si="15"/>
        <v>10.8</v>
      </c>
      <c r="N25" s="203">
        <f t="shared" si="16"/>
        <v>16.080000000000002</v>
      </c>
    </row>
    <row r="26" spans="1:14" s="21" customFormat="1" ht="18" x14ac:dyDescent="0.35">
      <c r="A26" s="75"/>
      <c r="B26" s="153"/>
      <c r="C26" s="146"/>
      <c r="D26" s="51"/>
      <c r="E26" s="48"/>
      <c r="F26" s="203"/>
      <c r="G26" s="59"/>
      <c r="H26" s="48"/>
      <c r="I26" s="48"/>
      <c r="J26" s="203"/>
      <c r="K26" s="59"/>
      <c r="L26" s="48"/>
      <c r="M26" s="48"/>
      <c r="N26" s="203"/>
    </row>
    <row r="27" spans="1:14" s="21" customFormat="1" ht="18" x14ac:dyDescent="0.35">
      <c r="A27" s="75">
        <f>IF(F27&lt;&gt;"",(LARGE(A$7:A25,1)+1),"")</f>
        <v>8</v>
      </c>
      <c r="B27" s="153" t="s">
        <v>302</v>
      </c>
      <c r="C27" s="146">
        <v>4</v>
      </c>
      <c r="D27" s="51" t="s">
        <v>13</v>
      </c>
      <c r="E27" s="48">
        <f t="shared" si="11"/>
        <v>22.4</v>
      </c>
      <c r="F27" s="203">
        <f t="shared" si="12"/>
        <v>89.6</v>
      </c>
      <c r="G27" s="59">
        <v>9</v>
      </c>
      <c r="H27" s="48">
        <v>13.4</v>
      </c>
      <c r="I27" s="48">
        <f>IF(D27=0," ",(G27)*(Details!$C$4+Details!$C$8))</f>
        <v>1.35</v>
      </c>
      <c r="J27" s="203">
        <f>IF(D27=0," ",(H27)*(Details!$C$6+Details!$C$8))</f>
        <v>2.0100000000000002</v>
      </c>
      <c r="K27" s="59">
        <f t="shared" si="13"/>
        <v>36</v>
      </c>
      <c r="L27" s="48">
        <f t="shared" si="14"/>
        <v>53.6</v>
      </c>
      <c r="M27" s="48">
        <f t="shared" si="15"/>
        <v>5.4</v>
      </c>
      <c r="N27" s="203">
        <f t="shared" si="16"/>
        <v>8.0400000000000009</v>
      </c>
    </row>
    <row r="28" spans="1:14" s="21" customFormat="1" ht="18" x14ac:dyDescent="0.35">
      <c r="A28" s="75"/>
      <c r="B28" s="153"/>
      <c r="C28" s="146"/>
      <c r="D28" s="51"/>
      <c r="E28" s="48"/>
      <c r="F28" s="203"/>
      <c r="G28" s="59"/>
      <c r="H28" s="48"/>
      <c r="I28" s="48"/>
      <c r="J28" s="203"/>
      <c r="K28" s="59"/>
      <c r="L28" s="48"/>
      <c r="M28" s="48"/>
      <c r="N28" s="203"/>
    </row>
    <row r="29" spans="1:14" s="21" customFormat="1" ht="18" x14ac:dyDescent="0.35">
      <c r="A29" s="75">
        <f>IF(F29&lt;&gt;"",(LARGE(A$7:A27,1)+1),"")</f>
        <v>9</v>
      </c>
      <c r="B29" s="153" t="s">
        <v>352</v>
      </c>
      <c r="C29" s="146">
        <v>9.8000000000000007</v>
      </c>
      <c r="D29" s="51" t="s">
        <v>10</v>
      </c>
      <c r="E29" s="48">
        <f t="shared" si="11"/>
        <v>19.399999999999999</v>
      </c>
      <c r="F29" s="203">
        <f t="shared" si="12"/>
        <v>190.12</v>
      </c>
      <c r="G29" s="59">
        <v>8</v>
      </c>
      <c r="H29" s="48">
        <v>11.4</v>
      </c>
      <c r="I29" s="48">
        <f>IF(D29=0," ",(G29)*(Details!$C$4+Details!$C$8))</f>
        <v>1.2000000000000002</v>
      </c>
      <c r="J29" s="203">
        <f>IF(D29=0," ",(H29)*(Details!$C$6+Details!$C$8))</f>
        <v>1.7100000000000004</v>
      </c>
      <c r="K29" s="59">
        <f t="shared" si="13"/>
        <v>78.400000000000006</v>
      </c>
      <c r="L29" s="48">
        <f t="shared" si="14"/>
        <v>111.72000000000001</v>
      </c>
      <c r="M29" s="48">
        <f t="shared" si="15"/>
        <v>11.760000000000003</v>
      </c>
      <c r="N29" s="203">
        <f t="shared" si="16"/>
        <v>16.758000000000006</v>
      </c>
    </row>
    <row r="30" spans="1:14" s="21" customFormat="1" ht="18" x14ac:dyDescent="0.35">
      <c r="A30" s="75"/>
      <c r="B30" s="153"/>
      <c r="C30" s="146"/>
      <c r="D30" s="51"/>
      <c r="E30" s="48"/>
      <c r="F30" s="203"/>
      <c r="G30" s="59"/>
      <c r="H30" s="48"/>
      <c r="I30" s="48"/>
      <c r="J30" s="203"/>
      <c r="K30" s="59"/>
      <c r="L30" s="48"/>
      <c r="M30" s="48"/>
      <c r="N30" s="203"/>
    </row>
    <row r="31" spans="1:14" s="21" customFormat="1" ht="18" x14ac:dyDescent="0.35">
      <c r="A31" s="75">
        <f>IF(F31&lt;&gt;"",(LARGE(A$7:A29,1)+1),"")</f>
        <v>10</v>
      </c>
      <c r="B31" s="153" t="s">
        <v>305</v>
      </c>
      <c r="C31" s="146">
        <v>9.8000000000000007</v>
      </c>
      <c r="D31" s="51" t="s">
        <v>10</v>
      </c>
      <c r="E31" s="48">
        <f t="shared" si="11"/>
        <v>23.200000000000003</v>
      </c>
      <c r="F31" s="203">
        <f t="shared" si="12"/>
        <v>227.36000000000004</v>
      </c>
      <c r="G31" s="59">
        <v>10.8</v>
      </c>
      <c r="H31" s="48">
        <v>12.4</v>
      </c>
      <c r="I31" s="48">
        <f>IF(D31=0," ",(G31)*(Details!$C$4+Details!$C$8))</f>
        <v>1.6200000000000003</v>
      </c>
      <c r="J31" s="203">
        <f>IF(D31=0," ",(H31)*(Details!$C$6+Details!$C$8))</f>
        <v>1.8600000000000003</v>
      </c>
      <c r="K31" s="59">
        <f t="shared" si="13"/>
        <v>105.84000000000002</v>
      </c>
      <c r="L31" s="48">
        <f t="shared" si="14"/>
        <v>121.52000000000001</v>
      </c>
      <c r="M31" s="48">
        <f t="shared" si="15"/>
        <v>15.876000000000005</v>
      </c>
      <c r="N31" s="203">
        <f t="shared" si="16"/>
        <v>18.228000000000005</v>
      </c>
    </row>
    <row r="32" spans="1:14" s="21" customFormat="1" ht="18" x14ac:dyDescent="0.35">
      <c r="A32" s="75" t="str">
        <f>IF(F32&lt;&gt;"",(LARGE(A$7:A31,1)+1),"")</f>
        <v/>
      </c>
      <c r="B32" s="153"/>
      <c r="C32" s="146"/>
      <c r="D32" s="51"/>
      <c r="E32" s="48"/>
      <c r="F32" s="203"/>
      <c r="G32" s="59"/>
      <c r="H32" s="48"/>
      <c r="I32" s="48"/>
      <c r="J32" s="203"/>
      <c r="K32" s="218"/>
      <c r="L32" s="20"/>
      <c r="M32" s="20"/>
      <c r="N32" s="203"/>
    </row>
    <row r="33" spans="1:14" s="21" customFormat="1" ht="18" x14ac:dyDescent="0.35">
      <c r="A33" s="75" t="str">
        <f>IF(F33&lt;&gt;"",(LARGE(A$7:A32,1)+1),"")</f>
        <v/>
      </c>
      <c r="B33" s="350" t="s">
        <v>354</v>
      </c>
      <c r="C33" s="146"/>
      <c r="D33" s="51"/>
      <c r="E33" s="48"/>
      <c r="F33" s="203"/>
      <c r="G33" s="59"/>
      <c r="H33" s="48"/>
      <c r="I33" s="48"/>
      <c r="J33" s="203"/>
      <c r="K33" s="218"/>
      <c r="L33" s="20"/>
      <c r="M33" s="20"/>
      <c r="N33" s="203"/>
    </row>
    <row r="34" spans="1:14" s="21" customFormat="1" ht="18" x14ac:dyDescent="0.35">
      <c r="A34" s="75"/>
      <c r="B34" s="350"/>
      <c r="C34" s="146"/>
      <c r="D34" s="51"/>
      <c r="E34" s="48"/>
      <c r="F34" s="203"/>
      <c r="G34" s="59"/>
      <c r="H34" s="48"/>
      <c r="I34" s="48"/>
      <c r="J34" s="203"/>
      <c r="K34" s="218"/>
      <c r="L34" s="20"/>
      <c r="M34" s="20"/>
      <c r="N34" s="203"/>
    </row>
    <row r="35" spans="1:14" s="21" customFormat="1" ht="18" x14ac:dyDescent="0.35">
      <c r="A35" s="75">
        <f>IF(F35&lt;&gt;"",(LARGE(A$7:A33,1)+1),"")</f>
        <v>11</v>
      </c>
      <c r="B35" s="153" t="s">
        <v>351</v>
      </c>
      <c r="C35" s="146">
        <v>31.85</v>
      </c>
      <c r="D35" s="51" t="s">
        <v>10</v>
      </c>
      <c r="E35" s="48">
        <f t="shared" ref="E35:E43" si="17">G35+H35</f>
        <v>39.9</v>
      </c>
      <c r="F35" s="203">
        <f t="shared" ref="F35:F43" si="18">E35*C35</f>
        <v>1270.8150000000001</v>
      </c>
      <c r="G35" s="59">
        <v>13.4</v>
      </c>
      <c r="H35" s="48">
        <v>26.5</v>
      </c>
      <c r="I35" s="48">
        <f>IF(D35=0," ",(G35)*(Details!$C$4+Details!$C$8))</f>
        <v>2.0100000000000002</v>
      </c>
      <c r="J35" s="203">
        <f>IF(D35=0," ",(H35)*(Details!$C$6+Details!$C$8))</f>
        <v>3.9750000000000005</v>
      </c>
      <c r="K35" s="59">
        <f t="shared" ref="K35:K43" si="19">+G35*C35</f>
        <v>426.79</v>
      </c>
      <c r="L35" s="48">
        <f t="shared" ref="L35:L43" si="20">+H35*C35</f>
        <v>844.02500000000009</v>
      </c>
      <c r="M35" s="48">
        <f t="shared" ref="M35:M43" si="21">IF(D35=0," ",(I35*C35))</f>
        <v>64.018500000000017</v>
      </c>
      <c r="N35" s="203">
        <f t="shared" ref="N35:N43" si="22">IF(D35=0," ",(J35*C35))</f>
        <v>126.60375000000002</v>
      </c>
    </row>
    <row r="36" spans="1:14" s="21" customFormat="1" ht="18" x14ac:dyDescent="0.35">
      <c r="A36" s="75"/>
      <c r="B36" s="153"/>
      <c r="C36" s="146"/>
      <c r="D36" s="51"/>
      <c r="E36" s="48"/>
      <c r="F36" s="203"/>
      <c r="G36" s="59"/>
      <c r="H36" s="48"/>
      <c r="I36" s="48"/>
      <c r="J36" s="203"/>
      <c r="K36" s="59"/>
      <c r="L36" s="48"/>
      <c r="M36" s="48"/>
      <c r="N36" s="203"/>
    </row>
    <row r="37" spans="1:14" s="21" customFormat="1" ht="18" x14ac:dyDescent="0.35">
      <c r="A37" s="75">
        <f>IF(F37&lt;&gt;"",(LARGE(A$7:A35,1)+1),"")</f>
        <v>12</v>
      </c>
      <c r="B37" s="153" t="s">
        <v>301</v>
      </c>
      <c r="C37" s="146">
        <v>26</v>
      </c>
      <c r="D37" s="51" t="s">
        <v>13</v>
      </c>
      <c r="E37" s="48">
        <f t="shared" si="17"/>
        <v>22.4</v>
      </c>
      <c r="F37" s="203">
        <f t="shared" si="18"/>
        <v>582.4</v>
      </c>
      <c r="G37" s="59">
        <v>9</v>
      </c>
      <c r="H37" s="48">
        <v>13.4</v>
      </c>
      <c r="I37" s="48">
        <f>IF(D37=0," ",(G37)*(Details!$C$4+Details!$C$8))</f>
        <v>1.35</v>
      </c>
      <c r="J37" s="203">
        <f>IF(D37=0," ",(H37)*(Details!$C$6+Details!$C$8))</f>
        <v>2.0100000000000002</v>
      </c>
      <c r="K37" s="59">
        <f t="shared" si="19"/>
        <v>234</v>
      </c>
      <c r="L37" s="48">
        <f t="shared" si="20"/>
        <v>348.40000000000003</v>
      </c>
      <c r="M37" s="48">
        <f t="shared" si="21"/>
        <v>35.1</v>
      </c>
      <c r="N37" s="203">
        <f t="shared" si="22"/>
        <v>52.260000000000005</v>
      </c>
    </row>
    <row r="38" spans="1:14" s="21" customFormat="1" ht="18" x14ac:dyDescent="0.35">
      <c r="A38" s="75"/>
      <c r="B38" s="153"/>
      <c r="C38" s="146"/>
      <c r="D38" s="51"/>
      <c r="E38" s="48"/>
      <c r="F38" s="203"/>
      <c r="G38" s="59"/>
      <c r="H38" s="48"/>
      <c r="I38" s="48"/>
      <c r="J38" s="203"/>
      <c r="K38" s="59"/>
      <c r="L38" s="48"/>
      <c r="M38" s="48"/>
      <c r="N38" s="203"/>
    </row>
    <row r="39" spans="1:14" s="21" customFormat="1" ht="18" x14ac:dyDescent="0.35">
      <c r="A39" s="75">
        <f>IF(F39&lt;&gt;"",(LARGE(A$7:A37,1)+1),"")</f>
        <v>13</v>
      </c>
      <c r="B39" s="153" t="s">
        <v>302</v>
      </c>
      <c r="C39" s="146">
        <v>13</v>
      </c>
      <c r="D39" s="51" t="s">
        <v>13</v>
      </c>
      <c r="E39" s="48">
        <f t="shared" si="17"/>
        <v>22.4</v>
      </c>
      <c r="F39" s="203">
        <f t="shared" si="18"/>
        <v>291.2</v>
      </c>
      <c r="G39" s="59">
        <v>9</v>
      </c>
      <c r="H39" s="48">
        <v>13.4</v>
      </c>
      <c r="I39" s="48">
        <f>IF(D39=0," ",(G39)*(Details!$C$4+Details!$C$8))</f>
        <v>1.35</v>
      </c>
      <c r="J39" s="203">
        <f>IF(D39=0," ",(H39)*(Details!$C$6+Details!$C$8))</f>
        <v>2.0100000000000002</v>
      </c>
      <c r="K39" s="59">
        <f t="shared" si="19"/>
        <v>117</v>
      </c>
      <c r="L39" s="48">
        <f t="shared" si="20"/>
        <v>174.20000000000002</v>
      </c>
      <c r="M39" s="48">
        <f t="shared" si="21"/>
        <v>17.55</v>
      </c>
      <c r="N39" s="203">
        <f t="shared" si="22"/>
        <v>26.130000000000003</v>
      </c>
    </row>
    <row r="40" spans="1:14" s="21" customFormat="1" ht="18" x14ac:dyDescent="0.35">
      <c r="A40" s="75"/>
      <c r="B40" s="153"/>
      <c r="C40" s="146"/>
      <c r="D40" s="51"/>
      <c r="E40" s="48"/>
      <c r="F40" s="203"/>
      <c r="G40" s="59"/>
      <c r="H40" s="48"/>
      <c r="I40" s="48"/>
      <c r="J40" s="203"/>
      <c r="K40" s="59"/>
      <c r="L40" s="48"/>
      <c r="M40" s="48"/>
      <c r="N40" s="203"/>
    </row>
    <row r="41" spans="1:14" s="21" customFormat="1" ht="18" x14ac:dyDescent="0.35">
      <c r="A41" s="75">
        <f>IF(F41&lt;&gt;"",(LARGE(A$7:A39,1)+1),"")</f>
        <v>14</v>
      </c>
      <c r="B41" s="153" t="s">
        <v>352</v>
      </c>
      <c r="C41" s="146">
        <v>31.85</v>
      </c>
      <c r="D41" s="51" t="s">
        <v>10</v>
      </c>
      <c r="E41" s="48">
        <f t="shared" si="17"/>
        <v>19.399999999999999</v>
      </c>
      <c r="F41" s="203">
        <f t="shared" si="18"/>
        <v>617.89</v>
      </c>
      <c r="G41" s="59">
        <v>8</v>
      </c>
      <c r="H41" s="48">
        <v>11.4</v>
      </c>
      <c r="I41" s="48">
        <f>IF(D41=0," ",(G41)*(Details!$C$4+Details!$C$8))</f>
        <v>1.2000000000000002</v>
      </c>
      <c r="J41" s="203">
        <f>IF(D41=0," ",(H41)*(Details!$C$6+Details!$C$8))</f>
        <v>1.7100000000000004</v>
      </c>
      <c r="K41" s="59">
        <f t="shared" si="19"/>
        <v>254.8</v>
      </c>
      <c r="L41" s="48">
        <f t="shared" si="20"/>
        <v>363.09000000000003</v>
      </c>
      <c r="M41" s="48">
        <f t="shared" si="21"/>
        <v>38.220000000000006</v>
      </c>
      <c r="N41" s="203">
        <f t="shared" si="22"/>
        <v>54.463500000000018</v>
      </c>
    </row>
    <row r="42" spans="1:14" s="21" customFormat="1" ht="18" x14ac:dyDescent="0.35">
      <c r="A42" s="75"/>
      <c r="B42" s="153"/>
      <c r="C42" s="146"/>
      <c r="D42" s="51"/>
      <c r="E42" s="48"/>
      <c r="F42" s="203"/>
      <c r="G42" s="59"/>
      <c r="H42" s="48"/>
      <c r="I42" s="48"/>
      <c r="J42" s="203"/>
      <c r="K42" s="59"/>
      <c r="L42" s="48"/>
      <c r="M42" s="48"/>
      <c r="N42" s="203"/>
    </row>
    <row r="43" spans="1:14" s="21" customFormat="1" ht="18" x14ac:dyDescent="0.35">
      <c r="A43" s="75">
        <f>IF(F43&lt;&gt;"",(LARGE(A$7:A41,1)+1),"")</f>
        <v>15</v>
      </c>
      <c r="B43" s="153" t="s">
        <v>355</v>
      </c>
      <c r="C43" s="146">
        <v>31.85</v>
      </c>
      <c r="D43" s="51" t="s">
        <v>10</v>
      </c>
      <c r="E43" s="48">
        <f t="shared" si="17"/>
        <v>23.200000000000003</v>
      </c>
      <c r="F43" s="203">
        <f t="shared" si="18"/>
        <v>738.92000000000007</v>
      </c>
      <c r="G43" s="59">
        <v>10.8</v>
      </c>
      <c r="H43" s="48">
        <v>12.4</v>
      </c>
      <c r="I43" s="48">
        <f>IF(D43=0," ",(G43)*(Details!$C$4+Details!$C$8))</f>
        <v>1.6200000000000003</v>
      </c>
      <c r="J43" s="203">
        <f>IF(D43=0," ",(H43)*(Details!$C$6+Details!$C$8))</f>
        <v>1.8600000000000003</v>
      </c>
      <c r="K43" s="59">
        <f t="shared" si="19"/>
        <v>343.98</v>
      </c>
      <c r="L43" s="48">
        <f t="shared" si="20"/>
        <v>394.94000000000005</v>
      </c>
      <c r="M43" s="48">
        <f t="shared" si="21"/>
        <v>51.597000000000016</v>
      </c>
      <c r="N43" s="203">
        <f t="shared" si="22"/>
        <v>59.241000000000014</v>
      </c>
    </row>
    <row r="44" spans="1:14" s="21" customFormat="1" ht="18" x14ac:dyDescent="0.35">
      <c r="A44" s="75" t="str">
        <f>IF(F44&lt;&gt;"",(LARGE(A$7:A43,1)+1),"")</f>
        <v/>
      </c>
      <c r="B44" s="153"/>
      <c r="C44" s="146"/>
      <c r="D44" s="51"/>
      <c r="E44" s="48"/>
      <c r="F44" s="203"/>
      <c r="G44" s="59"/>
      <c r="H44" s="48"/>
      <c r="I44" s="48"/>
      <c r="J44" s="203"/>
      <c r="K44" s="218"/>
      <c r="L44" s="20"/>
      <c r="M44" s="20"/>
      <c r="N44" s="203"/>
    </row>
    <row r="45" spans="1:14" s="21" customFormat="1" ht="18" x14ac:dyDescent="0.35">
      <c r="A45" s="75" t="str">
        <f>IF(F45&lt;&gt;"",(LARGE(A$7:A44,1)+1),"")</f>
        <v/>
      </c>
      <c r="B45" s="350" t="s">
        <v>359</v>
      </c>
      <c r="C45" s="146"/>
      <c r="D45" s="51"/>
      <c r="E45" s="48"/>
      <c r="F45" s="203"/>
      <c r="G45" s="59"/>
      <c r="H45" s="48"/>
      <c r="I45" s="48"/>
      <c r="J45" s="203"/>
      <c r="K45" s="218"/>
      <c r="L45" s="20"/>
      <c r="M45" s="20"/>
      <c r="N45" s="203"/>
    </row>
    <row r="46" spans="1:14" s="21" customFormat="1" ht="18" x14ac:dyDescent="0.35">
      <c r="A46" s="75"/>
      <c r="B46" s="350"/>
      <c r="C46" s="146"/>
      <c r="D46" s="51"/>
      <c r="E46" s="48"/>
      <c r="F46" s="203"/>
      <c r="G46" s="59"/>
      <c r="H46" s="48"/>
      <c r="I46" s="48"/>
      <c r="J46" s="203"/>
      <c r="K46" s="218"/>
      <c r="L46" s="20"/>
      <c r="M46" s="20"/>
      <c r="N46" s="203"/>
    </row>
    <row r="47" spans="1:14" s="21" customFormat="1" ht="21" customHeight="1" x14ac:dyDescent="0.35">
      <c r="A47" s="75">
        <f>IF(F47&lt;&gt;"",(LARGE(A$7:A45,1)+1),"")</f>
        <v>16</v>
      </c>
      <c r="B47" s="153" t="s">
        <v>360</v>
      </c>
      <c r="C47" s="146">
        <v>2.94</v>
      </c>
      <c r="D47" s="51" t="s">
        <v>10</v>
      </c>
      <c r="E47" s="48">
        <f t="shared" ref="E47" si="23">G47+H47</f>
        <v>35.200000000000003</v>
      </c>
      <c r="F47" s="203">
        <f t="shared" ref="F47:F53" si="24">E47*C47</f>
        <v>103.488</v>
      </c>
      <c r="G47" s="59">
        <v>11.8</v>
      </c>
      <c r="H47" s="48">
        <v>23.4</v>
      </c>
      <c r="I47" s="48">
        <f>IF(D47=0," ",(G47)*(Details!$C$4+Details!$C$8))</f>
        <v>1.7700000000000005</v>
      </c>
      <c r="J47" s="203">
        <f>IF(D47=0," ",(H47)*(Details!$C$6+Details!$C$8))</f>
        <v>3.5100000000000002</v>
      </c>
      <c r="K47" s="59">
        <f t="shared" ref="K47:K53" si="25">+G47*C47</f>
        <v>34.692</v>
      </c>
      <c r="L47" s="48">
        <f t="shared" ref="L47:L53" si="26">+H47*C47</f>
        <v>68.795999999999992</v>
      </c>
      <c r="M47" s="48">
        <f t="shared" ref="M47:M53" si="27">IF(D47=0," ",(I47*C47))</f>
        <v>5.2038000000000011</v>
      </c>
      <c r="N47" s="203">
        <f t="shared" ref="N47:N53" si="28">IF(D47=0," ",(J47*C47))</f>
        <v>10.3194</v>
      </c>
    </row>
    <row r="48" spans="1:14" s="21" customFormat="1" ht="21" customHeight="1" x14ac:dyDescent="0.35">
      <c r="A48" s="75"/>
      <c r="B48" s="153"/>
      <c r="C48" s="146"/>
      <c r="D48" s="51"/>
      <c r="E48" s="48"/>
      <c r="F48" s="203"/>
      <c r="G48" s="59"/>
      <c r="H48" s="48"/>
      <c r="I48" s="48"/>
      <c r="J48" s="203"/>
      <c r="K48" s="59"/>
      <c r="L48" s="48"/>
      <c r="M48" s="48"/>
      <c r="N48" s="203"/>
    </row>
    <row r="49" spans="1:14" s="21" customFormat="1" ht="18" x14ac:dyDescent="0.35">
      <c r="A49" s="75">
        <f>IF(F49&lt;&gt;"",(LARGE(A$7:A47,1)+1),"")</f>
        <v>17</v>
      </c>
      <c r="B49" s="153" t="s">
        <v>301</v>
      </c>
      <c r="C49" s="146">
        <v>2.4</v>
      </c>
      <c r="D49" s="51" t="s">
        <v>13</v>
      </c>
      <c r="E49" s="48">
        <f t="shared" ref="E49" si="29">G49+H49</f>
        <v>19.8</v>
      </c>
      <c r="F49" s="203">
        <f t="shared" si="24"/>
        <v>47.52</v>
      </c>
      <c r="G49" s="59">
        <v>8</v>
      </c>
      <c r="H49" s="48">
        <v>11.8</v>
      </c>
      <c r="I49" s="48">
        <f>IF(D49=0," ",(G49)*(Details!$C$4+Details!$C$8))</f>
        <v>1.2000000000000002</v>
      </c>
      <c r="J49" s="203">
        <f>IF(D49=0," ",(H49)*(Details!$C$6+Details!$C$8))</f>
        <v>1.7700000000000005</v>
      </c>
      <c r="K49" s="59">
        <f t="shared" si="25"/>
        <v>19.2</v>
      </c>
      <c r="L49" s="48">
        <f t="shared" si="26"/>
        <v>28.32</v>
      </c>
      <c r="M49" s="48">
        <f t="shared" si="27"/>
        <v>2.8800000000000003</v>
      </c>
      <c r="N49" s="203">
        <f t="shared" si="28"/>
        <v>4.2480000000000011</v>
      </c>
    </row>
    <row r="50" spans="1:14" s="21" customFormat="1" ht="18" x14ac:dyDescent="0.35">
      <c r="A50" s="75"/>
      <c r="B50" s="153"/>
      <c r="C50" s="146"/>
      <c r="D50" s="51"/>
      <c r="E50" s="48"/>
      <c r="F50" s="203"/>
      <c r="G50" s="59"/>
      <c r="H50" s="48"/>
      <c r="I50" s="48"/>
      <c r="J50" s="203"/>
      <c r="K50" s="59"/>
      <c r="L50" s="48"/>
      <c r="M50" s="48"/>
      <c r="N50" s="203"/>
    </row>
    <row r="51" spans="1:14" s="21" customFormat="1" ht="18" x14ac:dyDescent="0.35">
      <c r="A51" s="75">
        <f>IF(F51&lt;&gt;"",(LARGE(A$7:A49,1)+1),"")</f>
        <v>18</v>
      </c>
      <c r="B51" s="153" t="s">
        <v>302</v>
      </c>
      <c r="C51" s="146">
        <v>1.2</v>
      </c>
      <c r="D51" s="51" t="s">
        <v>13</v>
      </c>
      <c r="E51" s="48">
        <f t="shared" ref="E51" si="30">G51+H51</f>
        <v>19.2</v>
      </c>
      <c r="F51" s="203">
        <f t="shared" si="24"/>
        <v>23.04</v>
      </c>
      <c r="G51" s="59">
        <v>8</v>
      </c>
      <c r="H51" s="48">
        <v>11.2</v>
      </c>
      <c r="I51" s="48">
        <f>IF(D51=0," ",(G51)*(Details!$C$4+Details!$C$8))</f>
        <v>1.2000000000000002</v>
      </c>
      <c r="J51" s="203">
        <f>IF(D51=0," ",(H51)*(Details!$C$6+Details!$C$8))</f>
        <v>1.6800000000000002</v>
      </c>
      <c r="K51" s="59">
        <f t="shared" si="25"/>
        <v>9.6</v>
      </c>
      <c r="L51" s="48">
        <f t="shared" si="26"/>
        <v>13.44</v>
      </c>
      <c r="M51" s="48">
        <f t="shared" si="27"/>
        <v>1.4400000000000002</v>
      </c>
      <c r="N51" s="203">
        <f t="shared" si="28"/>
        <v>2.016</v>
      </c>
    </row>
    <row r="52" spans="1:14" s="21" customFormat="1" ht="18" x14ac:dyDescent="0.35">
      <c r="A52" s="75"/>
      <c r="B52" s="153"/>
      <c r="C52" s="146"/>
      <c r="D52" s="51"/>
      <c r="E52" s="48"/>
      <c r="F52" s="203"/>
      <c r="G52" s="59"/>
      <c r="H52" s="48"/>
      <c r="I52" s="48"/>
      <c r="J52" s="203"/>
      <c r="K52" s="59"/>
      <c r="L52" s="48"/>
      <c r="M52" s="48"/>
      <c r="N52" s="203"/>
    </row>
    <row r="53" spans="1:14" s="21" customFormat="1" ht="18" x14ac:dyDescent="0.35">
      <c r="A53" s="75">
        <f>IF(F53&lt;&gt;"",(LARGE(A$7:A51,1)+1),"")</f>
        <v>19</v>
      </c>
      <c r="B53" s="153" t="s">
        <v>361</v>
      </c>
      <c r="C53" s="146">
        <v>2.94</v>
      </c>
      <c r="D53" s="51" t="s">
        <v>10</v>
      </c>
      <c r="E53" s="48">
        <f t="shared" ref="E53" si="31">G53+H53</f>
        <v>19.2</v>
      </c>
      <c r="F53" s="203">
        <f t="shared" si="24"/>
        <v>56.448</v>
      </c>
      <c r="G53" s="59">
        <v>8</v>
      </c>
      <c r="H53" s="48">
        <v>11.2</v>
      </c>
      <c r="I53" s="48">
        <f>IF(D53=0," ",(G53)*(Details!$C$4+Details!$C$8))</f>
        <v>1.2000000000000002</v>
      </c>
      <c r="J53" s="203">
        <f>IF(D53=0," ",(H53)*(Details!$C$6+Details!$C$8))</f>
        <v>1.6800000000000002</v>
      </c>
      <c r="K53" s="59">
        <f t="shared" si="25"/>
        <v>23.52</v>
      </c>
      <c r="L53" s="48">
        <f t="shared" si="26"/>
        <v>32.927999999999997</v>
      </c>
      <c r="M53" s="48">
        <f t="shared" si="27"/>
        <v>3.5280000000000005</v>
      </c>
      <c r="N53" s="203">
        <f t="shared" si="28"/>
        <v>4.9392000000000005</v>
      </c>
    </row>
    <row r="54" spans="1:14" s="21" customFormat="1" ht="18" x14ac:dyDescent="0.35">
      <c r="A54" s="75" t="str">
        <f>IF(F54&lt;&gt;"",(LARGE(A$7:A53,1)+1),"")</f>
        <v/>
      </c>
      <c r="B54" s="153"/>
      <c r="C54" s="146"/>
      <c r="D54" s="51"/>
      <c r="E54" s="48"/>
      <c r="F54" s="203"/>
      <c r="G54" s="59"/>
      <c r="H54" s="48"/>
      <c r="I54" s="48"/>
      <c r="J54" s="203"/>
      <c r="K54" s="218"/>
      <c r="L54" s="20"/>
      <c r="M54" s="20"/>
      <c r="N54" s="203"/>
    </row>
    <row r="55" spans="1:14" s="21" customFormat="1" ht="18" x14ac:dyDescent="0.35">
      <c r="A55" s="75" t="str">
        <f>IF(F55&lt;&gt;"",(LARGE(A$7:A54,1)+1),"")</f>
        <v/>
      </c>
      <c r="B55" s="168" t="s">
        <v>362</v>
      </c>
      <c r="C55" s="146"/>
      <c r="D55" s="51"/>
      <c r="E55" s="48"/>
      <c r="F55" s="203"/>
      <c r="G55" s="59"/>
      <c r="H55" s="48"/>
      <c r="I55" s="48"/>
      <c r="J55" s="203"/>
      <c r="K55" s="218"/>
      <c r="L55" s="20"/>
      <c r="M55" s="20"/>
      <c r="N55" s="203"/>
    </row>
    <row r="56" spans="1:14" s="21" customFormat="1" ht="18" x14ac:dyDescent="0.35">
      <c r="A56" s="75"/>
      <c r="B56" s="168"/>
      <c r="C56" s="146"/>
      <c r="D56" s="51"/>
      <c r="E56" s="48"/>
      <c r="F56" s="203"/>
      <c r="G56" s="59"/>
      <c r="H56" s="48"/>
      <c r="I56" s="48"/>
      <c r="J56" s="203"/>
      <c r="K56" s="218"/>
      <c r="L56" s="20"/>
      <c r="M56" s="20"/>
      <c r="N56" s="203"/>
    </row>
    <row r="57" spans="1:14" s="21" customFormat="1" ht="18" x14ac:dyDescent="0.35">
      <c r="A57" s="75" t="str">
        <f>IF(F57&lt;&gt;"",(LARGE(A$7:A55,1)+1),"")</f>
        <v/>
      </c>
      <c r="B57" s="350" t="s">
        <v>356</v>
      </c>
      <c r="C57" s="146"/>
      <c r="D57" s="51"/>
      <c r="E57" s="48"/>
      <c r="F57" s="203"/>
      <c r="G57" s="59"/>
      <c r="H57" s="48"/>
      <c r="I57" s="48"/>
      <c r="J57" s="203"/>
      <c r="K57" s="218"/>
      <c r="L57" s="20"/>
      <c r="M57" s="20"/>
      <c r="N57" s="203"/>
    </row>
    <row r="58" spans="1:14" s="21" customFormat="1" ht="18" x14ac:dyDescent="0.35">
      <c r="A58" s="75"/>
      <c r="B58" s="350"/>
      <c r="C58" s="146"/>
      <c r="D58" s="51"/>
      <c r="E58" s="48"/>
      <c r="F58" s="203"/>
      <c r="G58" s="59"/>
      <c r="H58" s="48"/>
      <c r="I58" s="48"/>
      <c r="J58" s="203"/>
      <c r="K58" s="218"/>
      <c r="L58" s="20"/>
      <c r="M58" s="20"/>
      <c r="N58" s="203"/>
    </row>
    <row r="59" spans="1:14" s="21" customFormat="1" ht="18" x14ac:dyDescent="0.35">
      <c r="A59" s="75">
        <f>IF(F59&lt;&gt;"",(LARGE(A$7:A57,1)+1),"")</f>
        <v>20</v>
      </c>
      <c r="B59" s="153" t="s">
        <v>295</v>
      </c>
      <c r="C59" s="146">
        <v>0.89999999999999991</v>
      </c>
      <c r="D59" s="51" t="s">
        <v>10</v>
      </c>
      <c r="E59" s="48">
        <f t="shared" ref="E59" si="32">G59+H59</f>
        <v>87.3</v>
      </c>
      <c r="F59" s="203">
        <f t="shared" ref="F59:F61" si="33">E59*C59</f>
        <v>78.569999999999993</v>
      </c>
      <c r="G59" s="59">
        <v>30.5</v>
      </c>
      <c r="H59" s="48">
        <v>56.8</v>
      </c>
      <c r="I59" s="48">
        <f>IF(D59=0," ",(G59)*(Details!$C$4+Details!$C$8))</f>
        <v>4.5750000000000011</v>
      </c>
      <c r="J59" s="203">
        <f>IF(D59=0," ",(H59)*(Details!$C$6+Details!$C$8))</f>
        <v>8.5200000000000014</v>
      </c>
      <c r="K59" s="59">
        <f t="shared" ref="K59:K61" si="34">+G59*C59</f>
        <v>27.449999999999996</v>
      </c>
      <c r="L59" s="48">
        <f t="shared" ref="L59:L61" si="35">+H59*C59</f>
        <v>51.11999999999999</v>
      </c>
      <c r="M59" s="48">
        <f t="shared" ref="M59:M61" si="36">IF(D59=0," ",(I59*C59))</f>
        <v>4.1175000000000006</v>
      </c>
      <c r="N59" s="203">
        <f t="shared" ref="N59:N61" si="37">IF(D59=0," ",(J59*C59))</f>
        <v>7.6680000000000001</v>
      </c>
    </row>
    <row r="60" spans="1:14" s="21" customFormat="1" ht="18" x14ac:dyDescent="0.35">
      <c r="A60" s="75"/>
      <c r="B60" s="153"/>
      <c r="C60" s="146"/>
      <c r="D60" s="51"/>
      <c r="E60" s="48"/>
      <c r="F60" s="203"/>
      <c r="G60" s="59"/>
      <c r="H60" s="48"/>
      <c r="I60" s="48"/>
      <c r="J60" s="203"/>
      <c r="K60" s="59"/>
      <c r="L60" s="48"/>
      <c r="M60" s="48"/>
      <c r="N60" s="203"/>
    </row>
    <row r="61" spans="1:14" s="21" customFormat="1" ht="18" x14ac:dyDescent="0.35">
      <c r="A61" s="75">
        <f>IF(F61&lt;&gt;"",(LARGE(A$7:A59,1)+1),"")</f>
        <v>21</v>
      </c>
      <c r="B61" s="153" t="s">
        <v>297</v>
      </c>
      <c r="C61" s="146">
        <v>0.89999999999999991</v>
      </c>
      <c r="D61" s="51" t="s">
        <v>10</v>
      </c>
      <c r="E61" s="48">
        <f t="shared" ref="E61" si="38">G61+H61</f>
        <v>74.900000000000006</v>
      </c>
      <c r="F61" s="203">
        <f t="shared" si="33"/>
        <v>67.41</v>
      </c>
      <c r="G61" s="59">
        <v>26.5</v>
      </c>
      <c r="H61" s="48">
        <v>48.4</v>
      </c>
      <c r="I61" s="48">
        <f>IF(D61=0," ",(G61)*(Details!$C$4+Details!$C$8))</f>
        <v>3.9750000000000005</v>
      </c>
      <c r="J61" s="203">
        <f>IF(D61=0," ",(H61)*(Details!$C$6+Details!$C$8))</f>
        <v>7.2600000000000007</v>
      </c>
      <c r="K61" s="59">
        <f t="shared" si="34"/>
        <v>23.849999999999998</v>
      </c>
      <c r="L61" s="48">
        <f t="shared" si="35"/>
        <v>43.559999999999995</v>
      </c>
      <c r="M61" s="48">
        <f t="shared" si="36"/>
        <v>3.5775000000000001</v>
      </c>
      <c r="N61" s="203">
        <f t="shared" si="37"/>
        <v>6.5339999999999998</v>
      </c>
    </row>
    <row r="62" spans="1:14" s="21" customFormat="1" ht="18" x14ac:dyDescent="0.35">
      <c r="A62" s="75" t="str">
        <f>IF(F62&lt;&gt;"",(LARGE(A$7:A61,1)+1),"")</f>
        <v/>
      </c>
      <c r="B62" s="153"/>
      <c r="C62" s="146"/>
      <c r="D62" s="51"/>
      <c r="E62" s="48"/>
      <c r="F62" s="203"/>
      <c r="G62" s="59"/>
      <c r="H62" s="48"/>
      <c r="I62" s="48"/>
      <c r="J62" s="203"/>
      <c r="K62" s="218"/>
      <c r="L62" s="20"/>
      <c r="M62" s="20"/>
      <c r="N62" s="203"/>
    </row>
    <row r="63" spans="1:14" s="21" customFormat="1" ht="18" x14ac:dyDescent="0.35">
      <c r="A63" s="75" t="str">
        <f>IF(F63&lt;&gt;"",(LARGE(A$7:A62,1)+1),"")</f>
        <v/>
      </c>
      <c r="B63" s="350" t="s">
        <v>357</v>
      </c>
      <c r="C63" s="146"/>
      <c r="D63" s="51"/>
      <c r="E63" s="48"/>
      <c r="F63" s="203"/>
      <c r="G63" s="59"/>
      <c r="H63" s="48"/>
      <c r="I63" s="48"/>
      <c r="J63" s="203"/>
      <c r="K63" s="218"/>
      <c r="L63" s="20"/>
      <c r="M63" s="20"/>
      <c r="N63" s="203"/>
    </row>
    <row r="64" spans="1:14" s="21" customFormat="1" ht="18" x14ac:dyDescent="0.35">
      <c r="A64" s="75"/>
      <c r="B64" s="350"/>
      <c r="C64" s="146"/>
      <c r="D64" s="51"/>
      <c r="E64" s="48"/>
      <c r="F64" s="203"/>
      <c r="G64" s="59"/>
      <c r="H64" s="48"/>
      <c r="I64" s="48"/>
      <c r="J64" s="203"/>
      <c r="K64" s="218"/>
      <c r="L64" s="20"/>
      <c r="M64" s="20"/>
      <c r="N64" s="203"/>
    </row>
    <row r="65" spans="1:14" s="21" customFormat="1" ht="18" x14ac:dyDescent="0.35">
      <c r="A65" s="75">
        <f>IF(F65&lt;&gt;"",(LARGE(A$7:A63,1)+1),"")</f>
        <v>22</v>
      </c>
      <c r="B65" s="153" t="s">
        <v>358</v>
      </c>
      <c r="C65" s="146">
        <v>2.2000000000000002</v>
      </c>
      <c r="D65" s="51" t="s">
        <v>10</v>
      </c>
      <c r="E65" s="48">
        <f t="shared" ref="E65" si="39">G65+H65</f>
        <v>102.3</v>
      </c>
      <c r="F65" s="203">
        <f t="shared" ref="F65" si="40">E65*C65</f>
        <v>225.06</v>
      </c>
      <c r="G65" s="59">
        <v>34.5</v>
      </c>
      <c r="H65" s="48">
        <v>67.8</v>
      </c>
      <c r="I65" s="48">
        <f>IF(D65=0," ",(G65)*(Details!$C$4+Details!$C$8))</f>
        <v>5.1750000000000007</v>
      </c>
      <c r="J65" s="203">
        <f>IF(D65=0," ",(H65)*(Details!$C$6+Details!$C$8))</f>
        <v>10.170000000000002</v>
      </c>
      <c r="K65" s="59">
        <f t="shared" ref="K65" si="41">+G65*C65</f>
        <v>75.900000000000006</v>
      </c>
      <c r="L65" s="48">
        <f t="shared" ref="L65" si="42">+H65*C65</f>
        <v>149.16</v>
      </c>
      <c r="M65" s="48">
        <f t="shared" ref="M65" si="43">IF(D65=0," ",(I65*C65))</f>
        <v>11.385000000000003</v>
      </c>
      <c r="N65" s="203">
        <f t="shared" ref="N65" si="44">IF(D65=0," ",(J65*C65))</f>
        <v>22.374000000000006</v>
      </c>
    </row>
    <row r="66" spans="1:14" s="21" customFormat="1" ht="18" x14ac:dyDescent="0.35">
      <c r="A66" s="75" t="str">
        <f>IF(F66&lt;&gt;"",(LARGE(A$7:A64,1)+1),"")</f>
        <v/>
      </c>
      <c r="B66" s="153"/>
      <c r="C66" s="146"/>
      <c r="D66" s="51"/>
      <c r="E66" s="48"/>
      <c r="F66" s="203"/>
      <c r="G66" s="59"/>
      <c r="H66" s="48"/>
      <c r="I66" s="48"/>
      <c r="J66" s="203"/>
      <c r="K66" s="218"/>
      <c r="L66" s="20"/>
      <c r="M66" s="20"/>
      <c r="N66" s="203"/>
    </row>
    <row r="67" spans="1:14" s="21" customFormat="1" ht="18" x14ac:dyDescent="0.35">
      <c r="A67" s="75" t="str">
        <f>IF(F67&lt;&gt;"",(LARGE(A$7:A65,1)+1),"")</f>
        <v/>
      </c>
      <c r="B67" s="168" t="s">
        <v>365</v>
      </c>
      <c r="C67" s="146"/>
      <c r="D67" s="51"/>
      <c r="E67" s="48"/>
      <c r="F67" s="203"/>
      <c r="G67" s="59"/>
      <c r="H67" s="48"/>
      <c r="I67" s="48"/>
      <c r="J67" s="203"/>
      <c r="K67" s="218"/>
      <c r="L67" s="20"/>
      <c r="M67" s="20"/>
      <c r="N67" s="203"/>
    </row>
    <row r="68" spans="1:14" s="21" customFormat="1" ht="18" x14ac:dyDescent="0.35">
      <c r="A68" s="75" t="str">
        <f>IF(F68&lt;&gt;"",(LARGE(A$7:A66,1)+1),"")</f>
        <v/>
      </c>
      <c r="B68" s="153"/>
      <c r="C68" s="146"/>
      <c r="D68" s="51"/>
      <c r="E68" s="48"/>
      <c r="F68" s="203"/>
      <c r="G68" s="59"/>
      <c r="H68" s="48"/>
      <c r="I68" s="48"/>
      <c r="J68" s="203"/>
      <c r="K68" s="218"/>
      <c r="L68" s="20"/>
      <c r="M68" s="20"/>
      <c r="N68" s="203"/>
    </row>
    <row r="69" spans="1:14" s="21" customFormat="1" ht="18" x14ac:dyDescent="0.35">
      <c r="A69" s="75">
        <f>IF(F69&lt;&gt;"",(LARGE(A$7:A67,1)+1),"")</f>
        <v>23</v>
      </c>
      <c r="B69" s="153" t="s">
        <v>367</v>
      </c>
      <c r="C69" s="146">
        <v>129</v>
      </c>
      <c r="D69" s="51" t="s">
        <v>10</v>
      </c>
      <c r="E69" s="48">
        <f t="shared" ref="E69" si="45">G69+H69</f>
        <v>19.399999999999999</v>
      </c>
      <c r="F69" s="203">
        <f t="shared" ref="F69:F73" si="46">E69*C69</f>
        <v>2502.6</v>
      </c>
      <c r="G69" s="59">
        <v>8</v>
      </c>
      <c r="H69" s="48">
        <v>11.4</v>
      </c>
      <c r="I69" s="48">
        <f>IF(D69=0," ",(G69)*(Details!$C$4+Details!$C$8))</f>
        <v>1.2000000000000002</v>
      </c>
      <c r="J69" s="203">
        <f>IF(D69=0," ",(H69)*(Details!$C$6+Details!$C$8))</f>
        <v>1.7100000000000004</v>
      </c>
      <c r="K69" s="59">
        <f t="shared" ref="K69:K73" si="47">+G69*C69</f>
        <v>1032</v>
      </c>
      <c r="L69" s="48">
        <f t="shared" ref="L69:L73" si="48">+H69*C69</f>
        <v>1470.6000000000001</v>
      </c>
      <c r="M69" s="48">
        <f t="shared" ref="M69:M73" si="49">IF(D69=0," ",(I69*C69))</f>
        <v>154.80000000000001</v>
      </c>
      <c r="N69" s="203">
        <f t="shared" ref="N69:N73" si="50">IF(D69=0," ",(J69*C69))</f>
        <v>220.59000000000006</v>
      </c>
    </row>
    <row r="70" spans="1:14" s="21" customFormat="1" ht="18" x14ac:dyDescent="0.35">
      <c r="A70" s="75"/>
      <c r="B70" s="153"/>
      <c r="C70" s="146"/>
      <c r="D70" s="51"/>
      <c r="E70" s="48"/>
      <c r="F70" s="203"/>
      <c r="G70" s="59"/>
      <c r="H70" s="48"/>
      <c r="I70" s="48"/>
      <c r="J70" s="203"/>
      <c r="K70" s="59"/>
      <c r="L70" s="48"/>
      <c r="M70" s="48"/>
      <c r="N70" s="203"/>
    </row>
    <row r="71" spans="1:14" s="21" customFormat="1" ht="18" x14ac:dyDescent="0.35">
      <c r="A71" s="75">
        <f>IF(F71&lt;&gt;"",(LARGE(A$7:A68,1)+1),"")</f>
        <v>23</v>
      </c>
      <c r="B71" s="153" t="s">
        <v>368</v>
      </c>
      <c r="C71" s="146">
        <v>27</v>
      </c>
      <c r="D71" s="51" t="s">
        <v>10</v>
      </c>
      <c r="E71" s="48">
        <f t="shared" ref="E71" si="51">G71+H71</f>
        <v>19.8</v>
      </c>
      <c r="F71" s="203">
        <f t="shared" si="46"/>
        <v>534.6</v>
      </c>
      <c r="G71" s="59">
        <v>8</v>
      </c>
      <c r="H71" s="48">
        <v>11.8</v>
      </c>
      <c r="I71" s="48">
        <f>IF(D71=0," ",(G71)*(Details!$C$4+Details!$C$8))</f>
        <v>1.2000000000000002</v>
      </c>
      <c r="J71" s="203">
        <f>IF(D71=0," ",(H71)*(Details!$C$6+Details!$C$8))</f>
        <v>1.7700000000000005</v>
      </c>
      <c r="K71" s="59">
        <f t="shared" si="47"/>
        <v>216</v>
      </c>
      <c r="L71" s="48">
        <f t="shared" si="48"/>
        <v>318.60000000000002</v>
      </c>
      <c r="M71" s="48">
        <f t="shared" si="49"/>
        <v>32.400000000000006</v>
      </c>
      <c r="N71" s="203">
        <f t="shared" si="50"/>
        <v>47.790000000000013</v>
      </c>
    </row>
    <row r="72" spans="1:14" s="21" customFormat="1" ht="18" x14ac:dyDescent="0.35">
      <c r="A72" s="75"/>
      <c r="B72" s="153"/>
      <c r="C72" s="146"/>
      <c r="D72" s="51"/>
      <c r="E72" s="48"/>
      <c r="F72" s="203"/>
      <c r="G72" s="59"/>
      <c r="H72" s="48"/>
      <c r="I72" s="48"/>
      <c r="J72" s="203"/>
      <c r="K72" s="59"/>
      <c r="L72" s="48"/>
      <c r="M72" s="48"/>
      <c r="N72" s="203"/>
    </row>
    <row r="73" spans="1:14" s="21" customFormat="1" ht="18" x14ac:dyDescent="0.35">
      <c r="A73" s="75">
        <f>IF(F73&lt;&gt;"",(LARGE(A$7:A69,1)+1),"")</f>
        <v>24</v>
      </c>
      <c r="B73" s="153" t="s">
        <v>369</v>
      </c>
      <c r="C73" s="146">
        <v>46</v>
      </c>
      <c r="D73" s="51" t="s">
        <v>10</v>
      </c>
      <c r="E73" s="48">
        <f t="shared" ref="E73" si="52">G73+H73</f>
        <v>18.600000000000001</v>
      </c>
      <c r="F73" s="203">
        <f t="shared" si="46"/>
        <v>855.6</v>
      </c>
      <c r="G73" s="59">
        <v>8</v>
      </c>
      <c r="H73" s="48">
        <v>10.6</v>
      </c>
      <c r="I73" s="48">
        <f>IF(D73=0," ",(G73)*(Details!$C$4+Details!$C$8))</f>
        <v>1.2000000000000002</v>
      </c>
      <c r="J73" s="203">
        <f>IF(D73=0," ",(H73)*(Details!$C$6+Details!$C$8))</f>
        <v>1.59</v>
      </c>
      <c r="K73" s="59">
        <f t="shared" si="47"/>
        <v>368</v>
      </c>
      <c r="L73" s="48">
        <f t="shared" si="48"/>
        <v>487.59999999999997</v>
      </c>
      <c r="M73" s="48">
        <f t="shared" si="49"/>
        <v>55.20000000000001</v>
      </c>
      <c r="N73" s="203">
        <f t="shared" si="50"/>
        <v>73.14</v>
      </c>
    </row>
    <row r="74" spans="1:14" s="21" customFormat="1" ht="18" x14ac:dyDescent="0.35">
      <c r="A74" s="75" t="str">
        <f>IF(F74&lt;&gt;"",(LARGE(A$7:A71,1)+1),"")</f>
        <v/>
      </c>
      <c r="B74" s="153"/>
      <c r="C74" s="146"/>
      <c r="D74" s="51"/>
      <c r="E74" s="48"/>
      <c r="F74" s="203"/>
      <c r="G74" s="59"/>
      <c r="H74" s="48"/>
      <c r="I74" s="48"/>
      <c r="J74" s="203"/>
      <c r="K74" s="218"/>
      <c r="L74" s="20"/>
      <c r="M74" s="20"/>
      <c r="N74" s="203"/>
    </row>
    <row r="75" spans="1:14" s="21" customFormat="1" ht="18" x14ac:dyDescent="0.35">
      <c r="A75" s="75" t="str">
        <f>IF(F75&lt;&gt;"",(LARGE(A$7:A73,1)+1),"")</f>
        <v/>
      </c>
      <c r="B75" s="168" t="s">
        <v>366</v>
      </c>
      <c r="C75" s="146"/>
      <c r="D75" s="51"/>
      <c r="E75" s="48"/>
      <c r="F75" s="203"/>
      <c r="G75" s="59"/>
      <c r="H75" s="48"/>
      <c r="I75" s="48" t="str">
        <f>IF(D75=0," ",(G75)*(Details!$C$4+Details!$C$8))</f>
        <v xml:space="preserve"> </v>
      </c>
      <c r="J75" s="203" t="str">
        <f>IF(D75=0," ",(H75)*(Details!$C$6+Details!$C$8))</f>
        <v xml:space="preserve"> </v>
      </c>
      <c r="K75" s="59"/>
      <c r="L75" s="48"/>
      <c r="M75" s="48" t="str">
        <f t="shared" ref="M75" si="53">IF(D75=0," ",(I75*C75))</f>
        <v xml:space="preserve"> </v>
      </c>
      <c r="N75" s="203" t="str">
        <f t="shared" ref="N75" si="54">IF(D75=0," ",(J75*C75))</f>
        <v xml:space="preserve"> </v>
      </c>
    </row>
    <row r="76" spans="1:14" s="21" customFormat="1" ht="18" x14ac:dyDescent="0.35">
      <c r="A76" s="75" t="str">
        <f>IF(F76&lt;&gt;"",(LARGE(A$7:A74,1)+1),"")</f>
        <v/>
      </c>
      <c r="B76" s="160"/>
      <c r="C76" s="146"/>
      <c r="D76" s="51"/>
      <c r="E76" s="48"/>
      <c r="F76" s="203"/>
      <c r="G76" s="59"/>
      <c r="H76" s="48"/>
      <c r="I76" s="48"/>
      <c r="J76" s="203"/>
      <c r="K76" s="218"/>
      <c r="L76" s="20"/>
      <c r="M76" s="20"/>
      <c r="N76" s="203"/>
    </row>
    <row r="77" spans="1:14" s="21" customFormat="1" ht="18" x14ac:dyDescent="0.35">
      <c r="A77" s="75">
        <f>IF(F77&lt;&gt;"",(LARGE(A$7:A75,1)+1),"")</f>
        <v>25</v>
      </c>
      <c r="B77" s="153" t="s">
        <v>48</v>
      </c>
      <c r="C77" s="146">
        <v>195</v>
      </c>
      <c r="D77" s="51" t="s">
        <v>10</v>
      </c>
      <c r="E77" s="48">
        <f t="shared" ref="E77" si="55">G77+H77</f>
        <v>18.5</v>
      </c>
      <c r="F77" s="203">
        <f>E77*C77</f>
        <v>3607.5</v>
      </c>
      <c r="G77" s="59">
        <v>8</v>
      </c>
      <c r="H77" s="48">
        <v>10.5</v>
      </c>
      <c r="I77" s="48">
        <f>IF(D77=0," ",(G77)*(Details!$C$4+Details!$C$8))</f>
        <v>1.2000000000000002</v>
      </c>
      <c r="J77" s="203">
        <f>IF(D77=0," ",(H77)*(Details!$C$6+Details!$C$8))</f>
        <v>1.5750000000000002</v>
      </c>
      <c r="K77" s="59">
        <f t="shared" ref="K77" si="56">+G77*C77</f>
        <v>1560</v>
      </c>
      <c r="L77" s="48">
        <f t="shared" ref="L77" si="57">+H77*C77</f>
        <v>2047.5</v>
      </c>
      <c r="M77" s="48">
        <f t="shared" ref="M77" si="58">IF(D77=0," ",(I77*C77))</f>
        <v>234.00000000000003</v>
      </c>
      <c r="N77" s="203">
        <f t="shared" ref="N77" si="59">IF(D77=0," ",(J77*C77))</f>
        <v>307.12500000000006</v>
      </c>
    </row>
    <row r="78" spans="1:14" s="21" customFormat="1" ht="18" x14ac:dyDescent="0.35">
      <c r="A78" s="75" t="str">
        <f>IF(F78&lt;&gt;"",(LARGE(A$7:A76,1)+1),"")</f>
        <v/>
      </c>
      <c r="B78" s="153"/>
      <c r="C78" s="146"/>
      <c r="D78" s="51"/>
      <c r="E78" s="48"/>
      <c r="F78" s="203"/>
      <c r="G78" s="59"/>
      <c r="H78" s="48"/>
      <c r="I78" s="48"/>
      <c r="J78" s="203"/>
      <c r="K78" s="59"/>
      <c r="L78" s="48"/>
      <c r="M78" s="48"/>
      <c r="N78" s="203"/>
    </row>
    <row r="79" spans="1:14" s="21" customFormat="1" ht="18" x14ac:dyDescent="0.35">
      <c r="A79" s="75">
        <f>IF(F79&lt;&gt;"",(LARGE(A$7:A77,1)+1),"")</f>
        <v>26</v>
      </c>
      <c r="B79" s="153" t="s">
        <v>363</v>
      </c>
      <c r="C79" s="146">
        <v>19</v>
      </c>
      <c r="D79" s="51" t="s">
        <v>10</v>
      </c>
      <c r="E79" s="48">
        <f t="shared" ref="E79" si="60">G79+H79+J79+I79</f>
        <v>21.62</v>
      </c>
      <c r="F79" s="203">
        <f t="shared" ref="F79" si="61">E79*C79</f>
        <v>410.78000000000003</v>
      </c>
      <c r="G79" s="59">
        <v>8</v>
      </c>
      <c r="H79" s="48">
        <v>10.8</v>
      </c>
      <c r="I79" s="48">
        <f>IF(D79=0," ",(G79)*(Details!$C$4+Details!$C$8))</f>
        <v>1.2000000000000002</v>
      </c>
      <c r="J79" s="203">
        <f>IF(D79=0," ",(H79)*(Details!$C$6+Details!$C$8))</f>
        <v>1.6200000000000003</v>
      </c>
      <c r="K79" s="59">
        <f t="shared" ref="K79" si="62">+G79*C79</f>
        <v>152</v>
      </c>
      <c r="L79" s="48">
        <f t="shared" ref="L79" si="63">+H79*C79</f>
        <v>205.20000000000002</v>
      </c>
      <c r="M79" s="48">
        <f t="shared" ref="M79" si="64">IF(D79=0," ",(I79*C79))</f>
        <v>22.800000000000004</v>
      </c>
      <c r="N79" s="203">
        <f t="shared" ref="N79" si="65">IF(D79=0," ",(J79*C79))</f>
        <v>30.780000000000005</v>
      </c>
    </row>
    <row r="80" spans="1:14" s="21" customFormat="1" ht="18" x14ac:dyDescent="0.35">
      <c r="A80" s="75" t="str">
        <f>IF(F80&lt;&gt;"",(LARGE(A$7:A78,1)+1),"")</f>
        <v/>
      </c>
      <c r="B80" s="153"/>
      <c r="C80" s="146"/>
      <c r="D80" s="51"/>
      <c r="E80" s="48"/>
      <c r="F80" s="203"/>
      <c r="G80" s="59"/>
      <c r="H80" s="48"/>
      <c r="I80" s="48"/>
      <c r="J80" s="203"/>
      <c r="K80" s="59"/>
      <c r="L80" s="48"/>
      <c r="M80" s="48"/>
      <c r="N80" s="203"/>
    </row>
    <row r="81" spans="1:14" s="21" customFormat="1" ht="18" x14ac:dyDescent="0.35">
      <c r="A81" s="75" t="str">
        <f>IF(F81&lt;&gt;"",(LARGE(A$7:A79,1)+1),"")</f>
        <v/>
      </c>
      <c r="B81" s="168" t="s">
        <v>227</v>
      </c>
      <c r="C81" s="154"/>
      <c r="D81" s="51"/>
      <c r="E81" s="48"/>
      <c r="F81" s="203"/>
      <c r="G81" s="59"/>
      <c r="H81" s="48"/>
      <c r="I81" s="48" t="str">
        <f>IF(D81=0," ",(G81)*(Details!$C$4+Details!$C$8))</f>
        <v xml:space="preserve"> </v>
      </c>
      <c r="J81" s="203" t="str">
        <f>IF(D81=0," ",(H81)*(Details!$C$6+Details!$C$8))</f>
        <v xml:space="preserve"> </v>
      </c>
      <c r="K81" s="59"/>
      <c r="L81" s="48"/>
      <c r="M81" s="48" t="str">
        <f t="shared" ref="M81" si="66">IF(D81=0," ",(I81*C81))</f>
        <v xml:space="preserve"> </v>
      </c>
      <c r="N81" s="203" t="str">
        <f t="shared" ref="N81" si="67">IF(D81=0," ",(J81*C81))</f>
        <v xml:space="preserve"> </v>
      </c>
    </row>
    <row r="82" spans="1:14" s="21" customFormat="1" ht="18" x14ac:dyDescent="0.35">
      <c r="A82" s="75" t="str">
        <f>IF(F82&lt;&gt;"",(LARGE(A$7:A80,1)+1),"")</f>
        <v/>
      </c>
      <c r="B82" s="38"/>
      <c r="C82" s="146"/>
      <c r="D82" s="60"/>
      <c r="E82" s="48"/>
      <c r="F82" s="203"/>
      <c r="G82" s="59"/>
      <c r="H82" s="48"/>
      <c r="I82" s="48"/>
      <c r="J82" s="203"/>
      <c r="K82" s="218"/>
      <c r="L82" s="20"/>
      <c r="M82" s="20"/>
      <c r="N82" s="203"/>
    </row>
    <row r="83" spans="1:14" s="21" customFormat="1" ht="18" x14ac:dyDescent="0.35">
      <c r="A83" s="75">
        <f>IF(F83&lt;&gt;"",(LARGE(A$7:A81,1)+1),"")</f>
        <v>27</v>
      </c>
      <c r="B83" s="153" t="s">
        <v>232</v>
      </c>
      <c r="C83" s="146">
        <v>156</v>
      </c>
      <c r="D83" s="51" t="s">
        <v>10</v>
      </c>
      <c r="E83" s="48">
        <f t="shared" ref="E83" si="68">G83+H83</f>
        <v>8.9</v>
      </c>
      <c r="F83" s="203">
        <f>E83*C83</f>
        <v>1388.4</v>
      </c>
      <c r="G83" s="59">
        <v>3.5</v>
      </c>
      <c r="H83" s="48">
        <v>5.4</v>
      </c>
      <c r="I83" s="48">
        <f>IF(D83=0," ",(G83)*(Details!$C$4+Details!$C$8))</f>
        <v>0.52500000000000013</v>
      </c>
      <c r="J83" s="203">
        <f>IF(D83=0," ",(H83)*(Details!$C$6+Details!$C$8))</f>
        <v>0.81000000000000016</v>
      </c>
      <c r="K83" s="59">
        <f t="shared" ref="K83" si="69">+G83*C83</f>
        <v>546</v>
      </c>
      <c r="L83" s="48">
        <f t="shared" ref="L83" si="70">+H83*C83</f>
        <v>842.40000000000009</v>
      </c>
      <c r="M83" s="48">
        <f t="shared" ref="M83" si="71">IF(D83=0," ",(I83*C83))</f>
        <v>81.90000000000002</v>
      </c>
      <c r="N83" s="203">
        <f t="shared" ref="N83" si="72">IF(D83=0," ",(J83*C83))</f>
        <v>126.36000000000003</v>
      </c>
    </row>
    <row r="84" spans="1:14" s="21" customFormat="1" ht="18" x14ac:dyDescent="0.35">
      <c r="A84" s="75" t="str">
        <f>IF(F84&lt;&gt;"",(LARGE(A$7:A82,1)+1),"")</f>
        <v/>
      </c>
      <c r="B84" s="153"/>
      <c r="C84" s="146"/>
      <c r="D84" s="51"/>
      <c r="E84" s="48"/>
      <c r="F84" s="203"/>
      <c r="G84" s="59"/>
      <c r="H84" s="48"/>
      <c r="I84" s="48"/>
      <c r="J84" s="203"/>
      <c r="K84" s="59"/>
      <c r="L84" s="48"/>
      <c r="M84" s="48"/>
      <c r="N84" s="203"/>
    </row>
    <row r="85" spans="1:14" s="21" customFormat="1" ht="18" x14ac:dyDescent="0.35">
      <c r="A85" s="75">
        <f>IF(F85&lt;&gt;"",(LARGE(A$7:A83,1)+1),"")</f>
        <v>28</v>
      </c>
      <c r="B85" s="153" t="s">
        <v>364</v>
      </c>
      <c r="C85" s="146">
        <v>46</v>
      </c>
      <c r="D85" s="51" t="s">
        <v>10</v>
      </c>
      <c r="E85" s="48">
        <f t="shared" ref="E85" si="73">G85+H85+J85+I85</f>
        <v>8.2800000000000011</v>
      </c>
      <c r="F85" s="203">
        <f t="shared" ref="F85" si="74">E85*C85</f>
        <v>380.88000000000005</v>
      </c>
      <c r="G85" s="59">
        <v>2.8</v>
      </c>
      <c r="H85" s="48">
        <v>4.4000000000000004</v>
      </c>
      <c r="I85" s="48">
        <f>IF(D85=0," ",(G85)*(Details!$C$4+Details!$C$8))</f>
        <v>0.42000000000000004</v>
      </c>
      <c r="J85" s="203">
        <f>IF(D85=0," ",(H85)*(Details!$C$6+Details!$C$8))</f>
        <v>0.66000000000000014</v>
      </c>
      <c r="K85" s="59">
        <f t="shared" ref="K85" si="75">+G85*C85</f>
        <v>128.79999999999998</v>
      </c>
      <c r="L85" s="48">
        <f t="shared" ref="L85" si="76">+H85*C85</f>
        <v>202.4</v>
      </c>
      <c r="M85" s="48">
        <f t="shared" ref="M85" si="77">IF(D85=0," ",(I85*C85))</f>
        <v>19.32</v>
      </c>
      <c r="N85" s="203">
        <f t="shared" ref="N85" si="78">IF(D85=0," ",(J85*C85))</f>
        <v>30.360000000000007</v>
      </c>
    </row>
    <row r="86" spans="1:14" s="21" customFormat="1" ht="18" x14ac:dyDescent="0.35">
      <c r="A86" s="75" t="str">
        <f>IF(F86&lt;&gt;"",(LARGE(A$7:A84,1)+1),"")</f>
        <v/>
      </c>
      <c r="B86" s="153"/>
      <c r="C86" s="146"/>
      <c r="D86" s="60"/>
      <c r="E86" s="48"/>
      <c r="F86" s="203"/>
      <c r="G86" s="59"/>
      <c r="H86" s="48"/>
      <c r="I86" s="48"/>
      <c r="J86" s="203"/>
      <c r="K86" s="218"/>
      <c r="L86" s="20"/>
      <c r="M86" s="20"/>
      <c r="N86" s="203"/>
    </row>
    <row r="87" spans="1:14" s="21" customFormat="1" ht="18" x14ac:dyDescent="0.35">
      <c r="A87" s="75">
        <f>IF(F87&lt;&gt;"",(LARGE(A$7:A85,1)+1),"")</f>
        <v>29</v>
      </c>
      <c r="B87" s="153" t="s">
        <v>55</v>
      </c>
      <c r="C87" s="146">
        <v>214</v>
      </c>
      <c r="D87" s="51" t="s">
        <v>10</v>
      </c>
      <c r="E87" s="48">
        <f t="shared" ref="E87" si="79">G87+H87+J87+I87</f>
        <v>10.235000000000001</v>
      </c>
      <c r="F87" s="203">
        <f t="shared" ref="F87" si="80">E87*C87</f>
        <v>2190.2900000000004</v>
      </c>
      <c r="G87" s="59">
        <v>3.5</v>
      </c>
      <c r="H87" s="48">
        <v>5.4</v>
      </c>
      <c r="I87" s="48">
        <f>IF(D87=0," ",(G87)*(Details!$C$4+Details!$C$8))</f>
        <v>0.52500000000000013</v>
      </c>
      <c r="J87" s="203">
        <f>IF(D87=0," ",(H87)*(Details!$C$6+Details!$C$8))</f>
        <v>0.81000000000000016</v>
      </c>
      <c r="K87" s="59">
        <f t="shared" ref="K87" si="81">+G87*C87</f>
        <v>749</v>
      </c>
      <c r="L87" s="48">
        <f t="shared" ref="L87" si="82">+H87*C87</f>
        <v>1155.6000000000001</v>
      </c>
      <c r="M87" s="48">
        <f t="shared" ref="M87" si="83">IF(D87=0," ",(I87*C87))</f>
        <v>112.35000000000002</v>
      </c>
      <c r="N87" s="203">
        <f t="shared" ref="N87" si="84">IF(D87=0," ",(J87*C87))</f>
        <v>173.34000000000003</v>
      </c>
    </row>
    <row r="88" spans="1:14" s="21" customFormat="1" ht="18" x14ac:dyDescent="0.35">
      <c r="A88" s="75" t="str">
        <f>IF(F88&lt;&gt;"",(LARGE(A$7:A86,1)+1),"")</f>
        <v/>
      </c>
      <c r="B88" s="153"/>
      <c r="C88" s="146"/>
      <c r="D88" s="60"/>
      <c r="E88" s="48"/>
      <c r="F88" s="203"/>
      <c r="G88" s="59"/>
      <c r="H88" s="48"/>
      <c r="I88" s="48"/>
      <c r="J88" s="203"/>
      <c r="K88" s="218"/>
      <c r="L88" s="20"/>
      <c r="M88" s="20"/>
      <c r="N88" s="203"/>
    </row>
    <row r="89" spans="1:14" s="21" customFormat="1" ht="18" x14ac:dyDescent="0.35">
      <c r="A89" s="75" t="str">
        <f>IF(F89&lt;&gt;"",(LARGE(A$7:A87,1)+1),"")</f>
        <v/>
      </c>
      <c r="B89" s="168" t="s">
        <v>228</v>
      </c>
      <c r="C89" s="154"/>
      <c r="D89" s="60"/>
      <c r="E89" s="48"/>
      <c r="F89" s="203"/>
      <c r="G89" s="59"/>
      <c r="H89" s="48"/>
      <c r="I89" s="48"/>
      <c r="J89" s="203"/>
      <c r="K89" s="218"/>
      <c r="L89" s="20"/>
      <c r="M89" s="20"/>
      <c r="N89" s="203"/>
    </row>
    <row r="90" spans="1:14" s="21" customFormat="1" ht="18" x14ac:dyDescent="0.35">
      <c r="A90" s="75" t="str">
        <f>IF(F90&lt;&gt;"",(LARGE(A$7:A88,1)+1),"")</f>
        <v/>
      </c>
      <c r="B90" s="38"/>
      <c r="C90" s="146"/>
      <c r="D90" s="60"/>
      <c r="E90" s="48"/>
      <c r="F90" s="203"/>
      <c r="G90" s="59"/>
      <c r="H90" s="48"/>
      <c r="I90" s="48"/>
      <c r="J90" s="203"/>
      <c r="K90" s="218"/>
      <c r="L90" s="20"/>
      <c r="M90" s="20"/>
      <c r="N90" s="203"/>
    </row>
    <row r="91" spans="1:14" s="21" customFormat="1" ht="18" x14ac:dyDescent="0.35">
      <c r="A91" s="75">
        <f>IF(F91&lt;&gt;"",(LARGE(A$7:A89,1)+1),"")</f>
        <v>30</v>
      </c>
      <c r="B91" s="153" t="s">
        <v>232</v>
      </c>
      <c r="C91" s="146">
        <v>202</v>
      </c>
      <c r="D91" s="51" t="s">
        <v>10</v>
      </c>
      <c r="E91" s="48">
        <f t="shared" ref="E91" si="85">G91+H91+J91+I91</f>
        <v>10.235000000000001</v>
      </c>
      <c r="F91" s="203">
        <f>E91*C91</f>
        <v>2067.4700000000003</v>
      </c>
      <c r="G91" s="59">
        <v>3.5</v>
      </c>
      <c r="H91" s="48">
        <v>5.4</v>
      </c>
      <c r="I91" s="48">
        <f>IF(D91=0," ",(G91)*(Details!$C$4+Details!$C$8))</f>
        <v>0.52500000000000013</v>
      </c>
      <c r="J91" s="203">
        <f>IF(D91=0," ",(H91)*(Details!$C$6+Details!$C$8))</f>
        <v>0.81000000000000016</v>
      </c>
      <c r="K91" s="59">
        <f t="shared" ref="K91" si="86">+G91*C91</f>
        <v>707</v>
      </c>
      <c r="L91" s="48">
        <f t="shared" ref="L91" si="87">+H91*C91</f>
        <v>1090.8000000000002</v>
      </c>
      <c r="M91" s="48">
        <f t="shared" ref="M91" si="88">IF(D91=0," ",(I91*C91))</f>
        <v>106.05000000000003</v>
      </c>
      <c r="N91" s="203">
        <f t="shared" ref="N91" si="89">IF(D91=0," ",(J91*C91))</f>
        <v>163.62000000000003</v>
      </c>
    </row>
    <row r="92" spans="1:14" s="21" customFormat="1" ht="18" x14ac:dyDescent="0.35">
      <c r="A92" s="75" t="str">
        <f>IF(F92&lt;&gt;"",(LARGE(A$7:A90,1)+1),"")</f>
        <v/>
      </c>
      <c r="B92" s="153"/>
      <c r="C92" s="146"/>
      <c r="D92" s="60"/>
      <c r="E92" s="48"/>
      <c r="F92" s="203"/>
      <c r="G92" s="59"/>
      <c r="H92" s="48"/>
      <c r="I92" s="48"/>
      <c r="J92" s="203"/>
      <c r="K92" s="218"/>
      <c r="L92" s="20"/>
      <c r="M92" s="20"/>
      <c r="N92" s="203"/>
    </row>
    <row r="93" spans="1:14" s="21" customFormat="1" ht="18" x14ac:dyDescent="0.35">
      <c r="A93" s="75" t="str">
        <f>IF(F93&lt;&gt;"",(LARGE(A$7:A91,1)+1),"")</f>
        <v/>
      </c>
      <c r="B93" s="168" t="s">
        <v>218</v>
      </c>
      <c r="C93" s="154"/>
      <c r="D93" s="51"/>
      <c r="E93" s="48"/>
      <c r="F93" s="203"/>
      <c r="G93" s="59"/>
      <c r="H93" s="48"/>
      <c r="I93" s="48"/>
      <c r="J93" s="203"/>
      <c r="K93" s="59"/>
      <c r="L93" s="48"/>
      <c r="M93" s="48"/>
      <c r="N93" s="203"/>
    </row>
    <row r="94" spans="1:14" s="21" customFormat="1" ht="18" x14ac:dyDescent="0.35">
      <c r="A94" s="75" t="str">
        <f>IF(F94&lt;&gt;"",(LARGE(A$7:A92,1)+1),"")</f>
        <v/>
      </c>
      <c r="B94" s="38"/>
      <c r="C94" s="146"/>
      <c r="D94" s="60"/>
      <c r="E94" s="48"/>
      <c r="F94" s="203"/>
      <c r="G94" s="59"/>
      <c r="H94" s="48"/>
      <c r="I94" s="48"/>
      <c r="J94" s="203"/>
      <c r="K94" s="218"/>
      <c r="L94" s="20"/>
      <c r="M94" s="20"/>
      <c r="N94" s="203"/>
    </row>
    <row r="95" spans="1:14" s="21" customFormat="1" ht="18" x14ac:dyDescent="0.35">
      <c r="A95" s="75">
        <f>IF(F95&lt;&gt;"",(LARGE(A$7:A93,1)+1),"")</f>
        <v>31</v>
      </c>
      <c r="B95" s="153" t="s">
        <v>219</v>
      </c>
      <c r="C95" s="146">
        <v>1</v>
      </c>
      <c r="D95" s="51" t="s">
        <v>59</v>
      </c>
      <c r="E95" s="48">
        <f t="shared" ref="E95" si="90">G95+H95</f>
        <v>400</v>
      </c>
      <c r="F95" s="203">
        <f>E95*C95</f>
        <v>400</v>
      </c>
      <c r="G95" s="59">
        <v>200</v>
      </c>
      <c r="H95" s="48">
        <v>200</v>
      </c>
      <c r="I95" s="48">
        <f>IF(D95=0," ",(G95)*(Details!$C$4+Details!$C$8))</f>
        <v>30.000000000000004</v>
      </c>
      <c r="J95" s="203">
        <f>IF(D95=0," ",(H95)*(Details!$C$6+Details!$C$8))</f>
        <v>30.000000000000004</v>
      </c>
      <c r="K95" s="59">
        <f t="shared" ref="K95" si="91">+G95*C95</f>
        <v>200</v>
      </c>
      <c r="L95" s="48">
        <f t="shared" ref="L95" si="92">+H95*C95</f>
        <v>200</v>
      </c>
      <c r="M95" s="48">
        <f t="shared" ref="M95" si="93">IF(D95=0," ",(I95*C95))</f>
        <v>30.000000000000004</v>
      </c>
      <c r="N95" s="203">
        <f t="shared" ref="N95" si="94">IF(D95=0," ",(J95*C95))</f>
        <v>30.000000000000004</v>
      </c>
    </row>
    <row r="96" spans="1:14" s="21" customFormat="1" ht="18" x14ac:dyDescent="0.35">
      <c r="A96" s="75" t="str">
        <f>IF(F96&lt;&gt;"",(LARGE(A$7:A95,1)+1),"")</f>
        <v/>
      </c>
      <c r="B96" s="153"/>
      <c r="C96" s="146"/>
      <c r="D96" s="60"/>
      <c r="E96" s="48"/>
      <c r="F96" s="203"/>
      <c r="G96" s="59"/>
      <c r="H96" s="48"/>
      <c r="I96" s="48"/>
      <c r="J96" s="203"/>
      <c r="K96" s="218"/>
      <c r="L96" s="20"/>
      <c r="M96" s="20"/>
      <c r="N96" s="203"/>
    </row>
    <row r="97" spans="1:16" s="21" customFormat="1" ht="18" x14ac:dyDescent="0.35">
      <c r="A97" s="75" t="str">
        <f>IF(F97&lt;&gt;"",(LARGE(A$7:A96,1)+1),"")</f>
        <v/>
      </c>
      <c r="B97" s="153"/>
      <c r="C97" s="146"/>
      <c r="D97" s="51"/>
      <c r="E97" s="48"/>
      <c r="F97" s="203"/>
      <c r="G97" s="59"/>
      <c r="H97" s="48"/>
      <c r="I97" s="48"/>
      <c r="J97" s="203"/>
      <c r="K97" s="218"/>
      <c r="L97" s="20"/>
      <c r="M97" s="20"/>
      <c r="N97" s="203"/>
    </row>
    <row r="98" spans="1:16" s="21" customFormat="1" ht="18" x14ac:dyDescent="0.35">
      <c r="A98" s="75" t="str">
        <f>IF(F98&lt;&gt;"",(LARGE(A$7:A97,1)+1),"")</f>
        <v/>
      </c>
      <c r="B98" s="153"/>
      <c r="C98" s="171"/>
      <c r="D98" s="51"/>
      <c r="E98" s="48"/>
      <c r="F98" s="203"/>
      <c r="G98" s="59"/>
      <c r="H98" s="48"/>
      <c r="I98" s="48"/>
      <c r="J98" s="203"/>
      <c r="K98" s="218"/>
      <c r="L98" s="20"/>
      <c r="M98" s="20"/>
      <c r="N98" s="203"/>
    </row>
    <row r="99" spans="1:16" s="21" customFormat="1" ht="18" x14ac:dyDescent="0.35">
      <c r="A99" s="75" t="str">
        <f>IF(F99&lt;&gt;"",(LARGE(A$7:A98,1)+1),"")</f>
        <v/>
      </c>
      <c r="B99" s="153"/>
      <c r="C99" s="171"/>
      <c r="D99" s="51"/>
      <c r="E99" s="48"/>
      <c r="F99" s="203"/>
      <c r="G99" s="59"/>
      <c r="H99" s="48"/>
      <c r="I99" s="48"/>
      <c r="J99" s="203" t="str">
        <f>IF(D99=0," ",(G99+H99)*(Details!$C$4+Details!$C$6))</f>
        <v xml:space="preserve"> </v>
      </c>
      <c r="K99" s="218"/>
      <c r="L99" s="20"/>
      <c r="M99" s="20"/>
      <c r="N99" s="203"/>
      <c r="P99" s="72" t="s">
        <v>142</v>
      </c>
    </row>
    <row r="100" spans="1:16" s="21" customFormat="1" ht="18.600000000000001" thickBot="1" x14ac:dyDescent="0.4">
      <c r="A100" s="75"/>
      <c r="B100" s="164"/>
      <c r="C100" s="146"/>
      <c r="D100" s="60"/>
      <c r="E100" s="62" t="s">
        <v>115</v>
      </c>
      <c r="F100" s="204">
        <f>SUM(F1:F99)</f>
        <v>20580.606000000003</v>
      </c>
      <c r="G100" s="59"/>
      <c r="H100" s="48"/>
      <c r="I100" s="48"/>
      <c r="J100" s="203" t="str">
        <f>IF(D100=0," ",(G100+H100)*(Details!$C$4+Details!$C$6))</f>
        <v xml:space="preserve"> </v>
      </c>
      <c r="K100" s="252">
        <f>SUM(K4:K99)</f>
        <v>8070.2919999999995</v>
      </c>
      <c r="L100" s="253">
        <f>SUM(L4:L99)</f>
        <v>11851.694</v>
      </c>
      <c r="M100" s="253">
        <f>SUM(M4:M99)</f>
        <v>1210.5438000000001</v>
      </c>
      <c r="N100" s="204">
        <f>SUM(N4:N99)</f>
        <v>1777.7541000000003</v>
      </c>
      <c r="O100" s="55"/>
      <c r="P100" s="72">
        <f>+F100-K100-L100-N100-M100</f>
        <v>-2329.677899999996</v>
      </c>
    </row>
    <row r="101" spans="1:16" s="21" customFormat="1" ht="19.2" thickTop="1" thickBot="1" x14ac:dyDescent="0.4">
      <c r="A101" s="165" t="str">
        <f>IF(F101&lt;&gt;"",(LARGE(A$7:A100,1)+1),"")</f>
        <v/>
      </c>
      <c r="B101" s="166"/>
      <c r="C101" s="159"/>
      <c r="D101" s="63"/>
      <c r="E101" s="65"/>
      <c r="F101" s="67"/>
      <c r="G101" s="66"/>
      <c r="H101" s="65"/>
      <c r="I101" s="65"/>
      <c r="J101" s="67" t="str">
        <f>IF(D101=0," ",(G101+H101)*(Details!$C$4+Details!$C$6))</f>
        <v xml:space="preserve"> </v>
      </c>
      <c r="K101" s="231"/>
      <c r="L101" s="231"/>
      <c r="M101" s="231"/>
      <c r="N101" s="191"/>
      <c r="O101" s="55"/>
    </row>
  </sheetData>
  <mergeCells count="2">
    <mergeCell ref="G5:J5"/>
    <mergeCell ref="K5:N5"/>
  </mergeCells>
  <conditionalFormatting sqref="G8:G10596">
    <cfRule type="notContainsBlanks" dxfId="76" priority="1">
      <formula>LEN(TRIM(G8))&gt;0</formula>
    </cfRule>
  </conditionalFormatting>
  <conditionalFormatting sqref="H13:H19">
    <cfRule type="notContainsBlanks" dxfId="75" priority="26">
      <formula>LEN(TRIM(H13))&gt;0</formula>
    </cfRule>
  </conditionalFormatting>
  <conditionalFormatting sqref="H23:H31 H35:H43 H47:H53 H59:H61 H65">
    <cfRule type="notContainsBlanks" dxfId="74" priority="22">
      <formula>LEN(TRIM(H23))&gt;0</formula>
    </cfRule>
  </conditionalFormatting>
  <conditionalFormatting sqref="H69:H73">
    <cfRule type="notContainsBlanks" dxfId="73" priority="6">
      <formula>LEN(TRIM(H69))&gt;0</formula>
    </cfRule>
  </conditionalFormatting>
  <conditionalFormatting sqref="H75:H85">
    <cfRule type="notContainsBlanks" dxfId="72" priority="14">
      <formula>LEN(TRIM(H75))&gt;0</formula>
    </cfRule>
  </conditionalFormatting>
  <conditionalFormatting sqref="H87">
    <cfRule type="notContainsBlanks" dxfId="71" priority="10">
      <formula>LEN(TRIM(H87))&gt;0</formula>
    </cfRule>
  </conditionalFormatting>
  <conditionalFormatting sqref="H91:H95">
    <cfRule type="notContainsBlanks" dxfId="70" priority="2">
      <formula>LEN(TRIM(H91))&gt;0</formula>
    </cfRule>
  </conditionalFormatting>
  <conditionalFormatting sqref="H8:I12 I76 I82 H86:I86 H88:I90 I92 I94 H96:I10496">
    <cfRule type="notContainsBlanks" dxfId="69" priority="60">
      <formula>LEN(TRIM(H8))&gt;0</formula>
    </cfRule>
  </conditionalFormatting>
  <conditionalFormatting sqref="H20:I22 H32:I34 H44:I46 H54:I58 H62:I64 H66:I68 H74:I74">
    <cfRule type="notContainsBlanks" dxfId="68" priority="53">
      <formula>LEN(TRIM(H20))&gt;0</formula>
    </cfRule>
  </conditionalFormatting>
  <conditionalFormatting sqref="P100">
    <cfRule type="cellIs" dxfId="67" priority="56" operator="equal">
      <formula>0</formula>
    </cfRule>
    <cfRule type="cellIs" dxfId="66" priority="57" operator="notBetween">
      <formula>-0.01</formula>
      <formula>0.01</formula>
    </cfRule>
  </conditionalFormatting>
  <printOptions horizontalCentered="1"/>
  <pageMargins left="0.70866141732283461" right="0.70866141732283461" top="0.31496062992125984" bottom="0.55118110236220474" header="0.31496062992125984" footer="0.31496062992125984"/>
  <pageSetup paperSize="9" scale="62" fitToHeight="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2">
    <pageSetUpPr fitToPage="1"/>
  </sheetPr>
  <dimension ref="A1:Q124"/>
  <sheetViews>
    <sheetView zoomScaleNormal="55" workbookViewId="0">
      <selection activeCell="F11" sqref="F11"/>
    </sheetView>
  </sheetViews>
  <sheetFormatPr defaultColWidth="9.109375" defaultRowHeight="15.6" x14ac:dyDescent="0.3"/>
  <cols>
    <col min="1" max="1" width="5.44140625" style="16" customWidth="1"/>
    <col min="2" max="2" width="80.77734375" style="21" customWidth="1"/>
    <col min="3" max="3" width="12.44140625" style="32" customWidth="1"/>
    <col min="4" max="4" width="8.6640625" style="16" customWidth="1"/>
    <col min="5" max="6" width="15.6640625" style="20" customWidth="1"/>
    <col min="7" max="10" width="14.33203125" style="20" customWidth="1"/>
    <col min="11" max="13" width="15.6640625" style="20" customWidth="1"/>
    <col min="14" max="14" width="15.6640625" style="16" customWidth="1"/>
    <col min="15" max="16384" width="9.109375" style="16"/>
  </cols>
  <sheetData>
    <row r="1" spans="1:14" x14ac:dyDescent="0.3">
      <c r="A1" s="29"/>
      <c r="B1" s="23"/>
      <c r="C1" s="31"/>
      <c r="D1" s="24"/>
      <c r="E1" s="33"/>
      <c r="F1" s="34"/>
      <c r="G1" s="82"/>
      <c r="H1" s="82"/>
      <c r="I1" s="82"/>
      <c r="J1" s="24"/>
    </row>
    <row r="2" spans="1:14" x14ac:dyDescent="0.3">
      <c r="A2" s="15"/>
      <c r="B2" s="3" t="str">
        <f>+'Qual, Excl &amp; Assum'!B2</f>
        <v>PROJECT: Mr &amp; Mrs Hawkes-Cowands House</v>
      </c>
      <c r="F2" s="35"/>
      <c r="G2" s="72"/>
      <c r="H2" s="72"/>
      <c r="I2" s="72"/>
      <c r="J2" s="16"/>
    </row>
    <row r="3" spans="1:14" x14ac:dyDescent="0.3">
      <c r="A3" s="15"/>
      <c r="B3" s="53" t="str">
        <f>+'Qual, Excl &amp; Assum'!B3</f>
        <v>DATE: 25TH SEPTEMBER 2025</v>
      </c>
      <c r="F3" s="35"/>
      <c r="G3" s="72"/>
      <c r="H3" s="72"/>
      <c r="I3" s="72"/>
      <c r="J3" s="16"/>
    </row>
    <row r="4" spans="1:14" s="21" customFormat="1" ht="16.2" thickBot="1" x14ac:dyDescent="0.35">
      <c r="A4" s="15"/>
      <c r="B4" s="22"/>
      <c r="C4" s="32"/>
      <c r="E4" s="36"/>
      <c r="F4" s="37"/>
      <c r="G4" s="83"/>
      <c r="H4" s="83"/>
      <c r="I4" s="83"/>
      <c r="K4" s="20"/>
      <c r="L4" s="20"/>
      <c r="M4" s="20"/>
    </row>
    <row r="5" spans="1:14" s="21" customFormat="1" ht="38.25" customHeight="1" thickBot="1" x14ac:dyDescent="0.35">
      <c r="A5" s="210"/>
      <c r="B5" s="211" t="s">
        <v>28</v>
      </c>
      <c r="C5" s="212"/>
      <c r="D5" s="213"/>
      <c r="E5" s="214"/>
      <c r="F5" s="220"/>
      <c r="G5" s="371" t="s">
        <v>138</v>
      </c>
      <c r="H5" s="371"/>
      <c r="I5" s="371"/>
      <c r="J5" s="372"/>
      <c r="K5" s="370" t="s">
        <v>139</v>
      </c>
      <c r="L5" s="371"/>
      <c r="M5" s="371"/>
      <c r="N5" s="372"/>
    </row>
    <row r="6" spans="1:14" s="21" customFormat="1" ht="18" x14ac:dyDescent="0.35">
      <c r="A6" s="49"/>
      <c r="B6" s="38"/>
      <c r="C6" s="146"/>
      <c r="D6" s="38"/>
      <c r="E6" s="64"/>
      <c r="F6" s="201"/>
      <c r="G6" s="257"/>
      <c r="H6" s="257"/>
      <c r="I6" s="257"/>
      <c r="J6" s="206"/>
      <c r="K6" s="218"/>
      <c r="L6" s="20"/>
      <c r="M6" s="20"/>
      <c r="N6" s="27"/>
    </row>
    <row r="7" spans="1:14" s="21" customFormat="1" ht="18" x14ac:dyDescent="0.35">
      <c r="A7" s="49"/>
      <c r="B7" s="3" t="s">
        <v>3</v>
      </c>
      <c r="C7" s="263" t="s">
        <v>8</v>
      </c>
      <c r="D7" s="264" t="s">
        <v>2</v>
      </c>
      <c r="E7" s="54" t="s">
        <v>1</v>
      </c>
      <c r="F7" s="265" t="s">
        <v>0</v>
      </c>
      <c r="G7" s="266" t="s">
        <v>34</v>
      </c>
      <c r="H7" s="266" t="s">
        <v>35</v>
      </c>
      <c r="I7" s="266" t="s">
        <v>177</v>
      </c>
      <c r="J7" s="267" t="s">
        <v>178</v>
      </c>
      <c r="K7" s="266" t="s">
        <v>34</v>
      </c>
      <c r="L7" s="266" t="s">
        <v>35</v>
      </c>
      <c r="M7" s="266" t="s">
        <v>177</v>
      </c>
      <c r="N7" s="267" t="s">
        <v>178</v>
      </c>
    </row>
    <row r="8" spans="1:14" s="21" customFormat="1" ht="18" x14ac:dyDescent="0.35">
      <c r="A8" s="49"/>
      <c r="B8" s="151"/>
      <c r="C8" s="149"/>
      <c r="D8" s="61"/>
      <c r="E8" s="62"/>
      <c r="F8" s="202"/>
      <c r="G8" s="59"/>
      <c r="H8" s="48"/>
      <c r="I8" s="48"/>
      <c r="J8" s="207"/>
      <c r="K8" s="218"/>
      <c r="L8" s="20"/>
      <c r="M8" s="20"/>
      <c r="N8" s="203" t="str">
        <f t="shared" ref="N8" si="0">IF(D8=0," ",(J8*C8))</f>
        <v xml:space="preserve"> </v>
      </c>
    </row>
    <row r="9" spans="1:14" s="21" customFormat="1" ht="18" x14ac:dyDescent="0.35">
      <c r="A9" s="49"/>
      <c r="B9" s="170" t="s">
        <v>31</v>
      </c>
      <c r="C9" s="146"/>
      <c r="D9" s="60"/>
      <c r="E9" s="48"/>
      <c r="F9" s="203"/>
      <c r="G9" s="59"/>
      <c r="H9" s="48"/>
      <c r="I9" s="48"/>
      <c r="J9" s="203"/>
      <c r="K9" s="218"/>
      <c r="L9" s="20"/>
      <c r="M9" s="20"/>
      <c r="N9" s="203"/>
    </row>
    <row r="10" spans="1:14" s="21" customFormat="1" ht="18" x14ac:dyDescent="0.35">
      <c r="A10" s="49"/>
      <c r="B10" s="38"/>
      <c r="C10" s="146"/>
      <c r="D10" s="51"/>
      <c r="E10" s="48"/>
      <c r="F10" s="203"/>
      <c r="G10" s="59"/>
      <c r="H10" s="48"/>
      <c r="I10" s="48"/>
      <c r="J10" s="203"/>
      <c r="K10" s="218"/>
      <c r="L10" s="20"/>
      <c r="M10" s="20"/>
      <c r="N10" s="203"/>
    </row>
    <row r="11" spans="1:14" s="21" customFormat="1" ht="18" x14ac:dyDescent="0.35">
      <c r="A11" s="49">
        <v>1</v>
      </c>
      <c r="B11" s="38" t="s">
        <v>26</v>
      </c>
      <c r="C11" s="146">
        <v>8</v>
      </c>
      <c r="D11" s="51" t="s">
        <v>12</v>
      </c>
      <c r="E11" s="48">
        <f>G11+H11</f>
        <v>200</v>
      </c>
      <c r="F11" s="203">
        <f>E11*C11</f>
        <v>1600</v>
      </c>
      <c r="G11" s="48">
        <v>200</v>
      </c>
      <c r="H11" s="48">
        <v>0</v>
      </c>
      <c r="I11" s="48">
        <f>IF(D11=0," ",(G11)*(Details!$C$4+Details!$C$8))</f>
        <v>30.000000000000004</v>
      </c>
      <c r="J11" s="203">
        <f>IF(D11=0," ",(H11)*(Details!$C$6+Details!$C$8))</f>
        <v>0</v>
      </c>
      <c r="K11" s="59">
        <f>+G11*C11</f>
        <v>1600</v>
      </c>
      <c r="L11" s="48">
        <f>+H11*C11</f>
        <v>0</v>
      </c>
      <c r="M11" s="48">
        <f>IF(D11=0," ",(I11*C11))</f>
        <v>240.00000000000003</v>
      </c>
      <c r="N11" s="203">
        <f>IF(D11=0," ",(J11*C11))</f>
        <v>0</v>
      </c>
    </row>
    <row r="12" spans="1:14" s="21" customFormat="1" ht="18" x14ac:dyDescent="0.35">
      <c r="A12" s="49"/>
      <c r="B12" s="38"/>
      <c r="C12" s="203"/>
      <c r="D12" s="51"/>
      <c r="E12" s="48"/>
      <c r="F12" s="203"/>
      <c r="G12" s="59"/>
      <c r="H12" s="48"/>
      <c r="I12" s="48"/>
      <c r="J12" s="203"/>
      <c r="K12" s="218"/>
      <c r="L12" s="20"/>
      <c r="M12" s="20"/>
      <c r="N12" s="203"/>
    </row>
    <row r="13" spans="1:14" s="21" customFormat="1" ht="18" x14ac:dyDescent="0.35">
      <c r="A13" s="75">
        <f>IF(F13&lt;&gt;"",(LARGE(A$10:A12,1)+1),"")</f>
        <v>2</v>
      </c>
      <c r="B13" s="38" t="s">
        <v>211</v>
      </c>
      <c r="C13" s="146">
        <f>C11</f>
        <v>8</v>
      </c>
      <c r="D13" s="51" t="s">
        <v>12</v>
      </c>
      <c r="E13" s="48">
        <f t="shared" ref="E13:E19" si="1">G13+H13</f>
        <v>540</v>
      </c>
      <c r="F13" s="203">
        <f>E13*C13</f>
        <v>4320</v>
      </c>
      <c r="G13" s="48">
        <v>0</v>
      </c>
      <c r="H13" s="48">
        <v>540</v>
      </c>
      <c r="I13" s="48">
        <f>IF(D13=0," ",(G13)*(Details!$C$4+Details!$C$8))</f>
        <v>0</v>
      </c>
      <c r="J13" s="203">
        <f>IF(D13=0," ",(H13)*(Details!$C$6+Details!$C$8))</f>
        <v>81.000000000000014</v>
      </c>
      <c r="K13" s="59">
        <f>+G13*C13</f>
        <v>0</v>
      </c>
      <c r="L13" s="48">
        <f>+H13*C13</f>
        <v>4320</v>
      </c>
      <c r="M13" s="48">
        <f>IF(D13=0," ",(I13*C13))</f>
        <v>0</v>
      </c>
      <c r="N13" s="203">
        <f>IF(D13=0," ",(J13*C13))</f>
        <v>648.00000000000011</v>
      </c>
    </row>
    <row r="14" spans="1:14" s="21" customFormat="1" ht="18" x14ac:dyDescent="0.35">
      <c r="A14" s="75" t="str">
        <f>IF(F14&lt;&gt;"",(LARGE(A$10:A13,1)+1),"")</f>
        <v/>
      </c>
      <c r="B14" s="38"/>
      <c r="C14" s="203"/>
      <c r="D14" s="51"/>
      <c r="E14" s="48"/>
      <c r="F14" s="203"/>
      <c r="G14" s="48"/>
      <c r="H14" s="48"/>
      <c r="I14" s="48"/>
      <c r="J14" s="203"/>
      <c r="K14" s="218"/>
      <c r="L14" s="20"/>
      <c r="M14" s="20"/>
      <c r="N14" s="203"/>
    </row>
    <row r="15" spans="1:14" s="21" customFormat="1" ht="18" x14ac:dyDescent="0.35">
      <c r="A15" s="75">
        <f>IF(F15&lt;&gt;"",(LARGE(A$10:A14,1)+1),"")</f>
        <v>3</v>
      </c>
      <c r="B15" s="38" t="s">
        <v>27</v>
      </c>
      <c r="C15" s="146">
        <f>C11</f>
        <v>8</v>
      </c>
      <c r="D15" s="51" t="s">
        <v>12</v>
      </c>
      <c r="E15" s="48">
        <f t="shared" si="1"/>
        <v>80</v>
      </c>
      <c r="F15" s="203">
        <f>E15*C15</f>
        <v>640</v>
      </c>
      <c r="G15" s="48">
        <v>80</v>
      </c>
      <c r="H15" s="48">
        <v>0</v>
      </c>
      <c r="I15" s="48">
        <f>IF(D15=0," ",(G15)*(Details!$C$4+Details!$C$8))</f>
        <v>12.000000000000002</v>
      </c>
      <c r="J15" s="203">
        <f>IF(D15=0," ",(H15)*(Details!$C$6+Details!$C$8))</f>
        <v>0</v>
      </c>
      <c r="K15" s="59">
        <f>+G15*C15</f>
        <v>640</v>
      </c>
      <c r="L15" s="48">
        <f>+H15*C15</f>
        <v>0</v>
      </c>
      <c r="M15" s="48">
        <f>IF(D15=0," ",(I15*C15))</f>
        <v>96.000000000000014</v>
      </c>
      <c r="N15" s="203">
        <f>IF(D15=0," ",(J15*C15))</f>
        <v>0</v>
      </c>
    </row>
    <row r="16" spans="1:14" s="21" customFormat="1" ht="18" x14ac:dyDescent="0.35">
      <c r="A16" s="75" t="str">
        <f>IF(F16&lt;&gt;"",(LARGE(A$10:A15,1)+1),"")</f>
        <v/>
      </c>
      <c r="B16" s="38"/>
      <c r="C16" s="203"/>
      <c r="D16" s="60"/>
      <c r="E16" s="48"/>
      <c r="F16" s="203"/>
      <c r="G16" s="59"/>
      <c r="H16" s="48"/>
      <c r="I16" s="48"/>
      <c r="J16" s="203"/>
      <c r="K16" s="218"/>
      <c r="L16" s="20"/>
      <c r="M16" s="20"/>
      <c r="N16" s="203"/>
    </row>
    <row r="17" spans="1:17" s="21" customFormat="1" ht="18" x14ac:dyDescent="0.35">
      <c r="A17" s="75">
        <f>IF(F17&lt;&gt;"",(LARGE(A$10:A16,1)+1),"")</f>
        <v>4</v>
      </c>
      <c r="B17" s="38" t="s">
        <v>212</v>
      </c>
      <c r="C17" s="146">
        <f>C15</f>
        <v>8</v>
      </c>
      <c r="D17" s="51" t="s">
        <v>12</v>
      </c>
      <c r="E17" s="48">
        <f t="shared" si="1"/>
        <v>135</v>
      </c>
      <c r="F17" s="203">
        <f>E17*C17</f>
        <v>1080</v>
      </c>
      <c r="G17" s="48">
        <v>0</v>
      </c>
      <c r="H17" s="48">
        <v>135</v>
      </c>
      <c r="I17" s="48">
        <f>IF(D17=0," ",(G17)*(Details!$C$4+Details!$C$8))</f>
        <v>0</v>
      </c>
      <c r="J17" s="203">
        <f>IF(D17=0," ",(H17)*(Details!$C$6+Details!$C$8))</f>
        <v>20.250000000000004</v>
      </c>
      <c r="K17" s="59">
        <f>+G17*C17</f>
        <v>0</v>
      </c>
      <c r="L17" s="48">
        <f>+H17*C17</f>
        <v>1080</v>
      </c>
      <c r="M17" s="48">
        <f>IF(D17=0," ",(I17*C17))</f>
        <v>0</v>
      </c>
      <c r="N17" s="203">
        <f>IF(D17=0," ",(J17*C17))</f>
        <v>162.00000000000003</v>
      </c>
    </row>
    <row r="18" spans="1:17" s="21" customFormat="1" ht="18" x14ac:dyDescent="0.35">
      <c r="A18" s="75" t="str">
        <f>IF(F18&lt;&gt;"",(LARGE(A$10:A17,1)+1),"")</f>
        <v/>
      </c>
      <c r="B18" s="38"/>
      <c r="C18" s="203"/>
      <c r="D18" s="60"/>
      <c r="E18" s="48"/>
      <c r="F18" s="203"/>
      <c r="G18" s="48"/>
      <c r="H18" s="48"/>
      <c r="I18" s="48"/>
      <c r="J18" s="203"/>
      <c r="K18" s="218"/>
      <c r="L18" s="20"/>
      <c r="M18" s="20"/>
      <c r="N18" s="203"/>
    </row>
    <row r="19" spans="1:17" s="21" customFormat="1" ht="18" x14ac:dyDescent="0.35">
      <c r="A19" s="75">
        <f>IF(F19&lt;&gt;"",(LARGE(A$10:A18,1)+1),"")</f>
        <v>5</v>
      </c>
      <c r="B19" s="38" t="s">
        <v>22</v>
      </c>
      <c r="C19" s="146">
        <f>C15</f>
        <v>8</v>
      </c>
      <c r="D19" s="51" t="s">
        <v>12</v>
      </c>
      <c r="E19" s="48">
        <f t="shared" si="1"/>
        <v>260</v>
      </c>
      <c r="F19" s="203">
        <f>E19*C19</f>
        <v>2080</v>
      </c>
      <c r="G19" s="48">
        <v>80</v>
      </c>
      <c r="H19" s="48">
        <v>180</v>
      </c>
      <c r="I19" s="48">
        <f>IF(D19=0," ",(G19)*(Details!$C$4+Details!$C$8))</f>
        <v>12.000000000000002</v>
      </c>
      <c r="J19" s="203">
        <f>IF(D19=0," ",(H19)*(Details!$C$6+Details!$C$8))</f>
        <v>27.000000000000004</v>
      </c>
      <c r="K19" s="59">
        <f>+G19*C19</f>
        <v>640</v>
      </c>
      <c r="L19" s="48">
        <f>+H19*C19</f>
        <v>1440</v>
      </c>
      <c r="M19" s="48">
        <f>IF(D19=0," ",(I19*C19))</f>
        <v>96.000000000000014</v>
      </c>
      <c r="N19" s="203">
        <f>IF(D19=0," ",(J19*C19))</f>
        <v>216.00000000000003</v>
      </c>
    </row>
    <row r="20" spans="1:17" s="21" customFormat="1" ht="18" x14ac:dyDescent="0.35">
      <c r="A20" s="75" t="str">
        <f>IF(F20&lt;&gt;"",(LARGE(A$10:A19,1)+1),"")</f>
        <v/>
      </c>
      <c r="B20" s="38"/>
      <c r="C20" s="203"/>
      <c r="D20" s="60"/>
      <c r="E20" s="48"/>
      <c r="F20" s="203"/>
      <c r="G20" s="59"/>
      <c r="H20" s="48"/>
      <c r="I20" s="48"/>
      <c r="J20" s="203"/>
      <c r="K20" s="218"/>
      <c r="L20" s="20"/>
      <c r="M20" s="20"/>
      <c r="N20" s="203"/>
    </row>
    <row r="21" spans="1:17" s="38" customFormat="1" ht="18" x14ac:dyDescent="0.35">
      <c r="A21" s="75" t="str">
        <f>IF(F21&lt;&gt;"",(LARGE(A$10:A20,1)+1),"")</f>
        <v/>
      </c>
      <c r="B21" s="170" t="s">
        <v>231</v>
      </c>
      <c r="C21" s="146"/>
      <c r="D21" s="60"/>
      <c r="E21" s="48"/>
      <c r="F21" s="203"/>
      <c r="G21" s="48"/>
      <c r="H21" s="48"/>
      <c r="I21" s="48"/>
      <c r="J21" s="203"/>
      <c r="K21" s="59"/>
      <c r="L21" s="48"/>
      <c r="M21" s="48"/>
      <c r="N21" s="203" t="str">
        <f t="shared" ref="N21" si="2">IF(D21=0," ",(J21*C21))</f>
        <v xml:space="preserve"> </v>
      </c>
      <c r="O21" s="59"/>
      <c r="P21" s="48"/>
      <c r="Q21" s="48"/>
    </row>
    <row r="22" spans="1:17" s="38" customFormat="1" ht="18" x14ac:dyDescent="0.35">
      <c r="A22" s="75" t="str">
        <f>IF(F22&lt;&gt;"",(LARGE(A$10:A21,1)+1),"")</f>
        <v/>
      </c>
      <c r="C22" s="146"/>
      <c r="D22" s="51"/>
      <c r="E22" s="48"/>
      <c r="F22" s="203"/>
      <c r="G22" s="59"/>
      <c r="H22" s="48"/>
      <c r="I22" s="48"/>
      <c r="J22" s="203"/>
      <c r="K22" s="48"/>
      <c r="L22" s="48"/>
      <c r="M22" s="48"/>
      <c r="N22" s="203"/>
      <c r="O22" s="21"/>
      <c r="P22" s="48"/>
      <c r="Q22" s="48"/>
    </row>
    <row r="23" spans="1:17" s="38" customFormat="1" ht="18" x14ac:dyDescent="0.35">
      <c r="A23" s="75">
        <f>IF(F23&lt;&gt;"",(LARGE(A$10:A22,1)+1),"")</f>
        <v>6</v>
      </c>
      <c r="B23" s="38" t="s">
        <v>26</v>
      </c>
      <c r="C23" s="146">
        <v>1</v>
      </c>
      <c r="D23" s="51" t="s">
        <v>12</v>
      </c>
      <c r="E23" s="48">
        <f t="shared" ref="E23:E33" si="3">G23+H23</f>
        <v>200</v>
      </c>
      <c r="F23" s="203">
        <f>E23*C23</f>
        <v>200</v>
      </c>
      <c r="G23" s="48">
        <v>200</v>
      </c>
      <c r="H23" s="48">
        <v>0</v>
      </c>
      <c r="I23" s="48">
        <f>IF(D23=0," ",(G23)*(Details!$C$4+Details!$C$8))</f>
        <v>30.000000000000004</v>
      </c>
      <c r="J23" s="203">
        <f>IF(D23=0," ",(H23)*(Details!$C$6+Details!$C$8))</f>
        <v>0</v>
      </c>
      <c r="K23" s="59">
        <f>+G23*C23</f>
        <v>200</v>
      </c>
      <c r="L23" s="48">
        <f>+H23*C23</f>
        <v>0</v>
      </c>
      <c r="M23" s="48">
        <f>IF(D23=0," ",(I23*C23))</f>
        <v>30.000000000000004</v>
      </c>
      <c r="N23" s="203">
        <f>IF(D23=0," ",(J23*C23))</f>
        <v>0</v>
      </c>
      <c r="O23" s="21"/>
      <c r="P23" s="48"/>
      <c r="Q23" s="48"/>
    </row>
    <row r="24" spans="1:17" s="38" customFormat="1" ht="18" x14ac:dyDescent="0.35">
      <c r="A24" s="75" t="str">
        <f>IF(F24&lt;&gt;"",(LARGE(A$10:A23,1)+1),"")</f>
        <v/>
      </c>
      <c r="C24" s="203"/>
      <c r="D24" s="51"/>
      <c r="E24" s="48"/>
      <c r="F24" s="203"/>
      <c r="G24" s="59"/>
      <c r="H24" s="48"/>
      <c r="I24" s="48"/>
      <c r="J24" s="203"/>
      <c r="K24" s="48"/>
      <c r="L24" s="48"/>
      <c r="M24" s="48"/>
      <c r="N24" s="48"/>
      <c r="O24" s="59"/>
      <c r="P24" s="48"/>
      <c r="Q24" s="48"/>
    </row>
    <row r="25" spans="1:17" s="38" customFormat="1" ht="18" x14ac:dyDescent="0.35">
      <c r="A25" s="75">
        <f>IF(F25&lt;&gt;"",(LARGE(A$10:A24,1)+1),"")</f>
        <v>7</v>
      </c>
      <c r="B25" s="38" t="s">
        <v>211</v>
      </c>
      <c r="C25" s="146">
        <f>C23</f>
        <v>1</v>
      </c>
      <c r="D25" s="51" t="s">
        <v>12</v>
      </c>
      <c r="E25" s="48">
        <f t="shared" si="3"/>
        <v>590</v>
      </c>
      <c r="F25" s="203">
        <f>E25*C25</f>
        <v>590</v>
      </c>
      <c r="G25" s="48">
        <v>0</v>
      </c>
      <c r="H25" s="48">
        <v>590</v>
      </c>
      <c r="I25" s="48">
        <f>IF(D25=0," ",(G25)*(Details!$C$4+Details!$C$8))</f>
        <v>0</v>
      </c>
      <c r="J25" s="203">
        <f>IF(D25=0," ",(H25)*(Details!$C$6+Details!$C$8))</f>
        <v>88.500000000000014</v>
      </c>
      <c r="K25" s="59">
        <f>+G25*C25</f>
        <v>0</v>
      </c>
      <c r="L25" s="48">
        <f>+H25*C25</f>
        <v>590</v>
      </c>
      <c r="M25" s="48">
        <f>IF(D25=0," ",(I25*C25))</f>
        <v>0</v>
      </c>
      <c r="N25" s="203">
        <f>IF(D25=0," ",(J25*C25))</f>
        <v>88.500000000000014</v>
      </c>
      <c r="O25" s="59"/>
      <c r="P25" s="48"/>
      <c r="Q25" s="48"/>
    </row>
    <row r="26" spans="1:17" s="38" customFormat="1" ht="18" x14ac:dyDescent="0.35">
      <c r="A26" s="75" t="str">
        <f>IF(F26&lt;&gt;"",(LARGE(A$10:A25,1)+1),"")</f>
        <v/>
      </c>
      <c r="C26" s="203"/>
      <c r="D26" s="51"/>
      <c r="E26" s="48"/>
      <c r="F26" s="203"/>
      <c r="G26" s="59"/>
      <c r="H26" s="48"/>
      <c r="I26" s="48"/>
      <c r="J26" s="203"/>
      <c r="K26" s="48"/>
      <c r="L26" s="48"/>
      <c r="M26" s="48"/>
      <c r="N26" s="48"/>
      <c r="O26" s="59"/>
      <c r="P26" s="48"/>
      <c r="Q26" s="48"/>
    </row>
    <row r="27" spans="1:17" s="38" customFormat="1" ht="18" x14ac:dyDescent="0.35">
      <c r="A27" s="75">
        <f>IF(F27&lt;&gt;"",(LARGE(A$10:A26,1)+1),"")</f>
        <v>8</v>
      </c>
      <c r="B27" s="38" t="s">
        <v>27</v>
      </c>
      <c r="C27" s="146">
        <f>C23</f>
        <v>1</v>
      </c>
      <c r="D27" s="51" t="s">
        <v>12</v>
      </c>
      <c r="E27" s="48">
        <f t="shared" si="3"/>
        <v>80</v>
      </c>
      <c r="F27" s="203">
        <f>E27*C27</f>
        <v>80</v>
      </c>
      <c r="G27" s="48">
        <v>80</v>
      </c>
      <c r="H27" s="48">
        <v>0</v>
      </c>
      <c r="I27" s="48">
        <f>IF(D27=0," ",(G27)*(Details!$C$4+Details!$C$8))</f>
        <v>12.000000000000002</v>
      </c>
      <c r="J27" s="203">
        <f>IF(D27=0," ",(H27)*(Details!$C$6+Details!$C$8))</f>
        <v>0</v>
      </c>
      <c r="K27" s="59">
        <f>+G27*C27</f>
        <v>80</v>
      </c>
      <c r="L27" s="48">
        <f>+H27*C27</f>
        <v>0</v>
      </c>
      <c r="M27" s="48">
        <f>IF(D27=0," ",(I27*C27))</f>
        <v>12.000000000000002</v>
      </c>
      <c r="N27" s="203">
        <f>IF(D27=0," ",(J27*C27))</f>
        <v>0</v>
      </c>
      <c r="O27" s="59"/>
      <c r="P27" s="48"/>
      <c r="Q27" s="48"/>
    </row>
    <row r="28" spans="1:17" s="38" customFormat="1" ht="18" x14ac:dyDescent="0.35">
      <c r="A28" s="75" t="str">
        <f>IF(F28&lt;&gt;"",(LARGE(A$10:A27,1)+1),"")</f>
        <v/>
      </c>
      <c r="C28" s="203"/>
      <c r="D28" s="51"/>
      <c r="E28" s="48"/>
      <c r="F28" s="203"/>
      <c r="G28" s="59"/>
      <c r="H28" s="48"/>
      <c r="I28" s="48"/>
      <c r="J28" s="203"/>
      <c r="K28" s="48"/>
      <c r="L28" s="48"/>
      <c r="M28" s="48"/>
      <c r="N28" s="48"/>
      <c r="O28" s="59"/>
      <c r="P28" s="48"/>
      <c r="Q28" s="48"/>
    </row>
    <row r="29" spans="1:17" s="38" customFormat="1" ht="18" x14ac:dyDescent="0.35">
      <c r="A29" s="75">
        <f>IF(F29&lt;&gt;"",(LARGE(A$10:A28,1)+1),"")</f>
        <v>9</v>
      </c>
      <c r="B29" s="38" t="s">
        <v>212</v>
      </c>
      <c r="C29" s="146">
        <f>C27</f>
        <v>1</v>
      </c>
      <c r="D29" s="51" t="s">
        <v>12</v>
      </c>
      <c r="E29" s="48">
        <f t="shared" si="3"/>
        <v>135</v>
      </c>
      <c r="F29" s="203">
        <f>E29*C29</f>
        <v>135</v>
      </c>
      <c r="G29" s="48">
        <v>0</v>
      </c>
      <c r="H29" s="48">
        <v>135</v>
      </c>
      <c r="I29" s="48">
        <f>IF(D29=0," ",(G29)*(Details!$C$4+Details!$C$8))</f>
        <v>0</v>
      </c>
      <c r="J29" s="203">
        <f>IF(D29=0," ",(H29)*(Details!$C$6+Details!$C$8))</f>
        <v>20.250000000000004</v>
      </c>
      <c r="K29" s="59">
        <f>+G29*C29</f>
        <v>0</v>
      </c>
      <c r="L29" s="48">
        <f>+H29*C29</f>
        <v>135</v>
      </c>
      <c r="M29" s="48">
        <f>IF(D29=0," ",(I29*C29))</f>
        <v>0</v>
      </c>
      <c r="N29" s="203">
        <f>IF(D29=0," ",(J29*C29))</f>
        <v>20.250000000000004</v>
      </c>
      <c r="O29" s="59"/>
      <c r="P29" s="48"/>
      <c r="Q29" s="48"/>
    </row>
    <row r="30" spans="1:17" s="38" customFormat="1" ht="18" x14ac:dyDescent="0.35">
      <c r="A30" s="75" t="str">
        <f>IF(F30&lt;&gt;"",(LARGE(A$10:A29,1)+1),"")</f>
        <v/>
      </c>
      <c r="C30" s="203"/>
      <c r="D30" s="51"/>
      <c r="E30" s="48"/>
      <c r="F30" s="203"/>
      <c r="G30" s="48"/>
      <c r="H30" s="48"/>
      <c r="I30" s="48"/>
      <c r="J30" s="203"/>
      <c r="K30" s="48"/>
      <c r="L30" s="48"/>
      <c r="M30" s="48"/>
      <c r="N30" s="48"/>
      <c r="O30" s="59"/>
      <c r="P30" s="48"/>
      <c r="Q30" s="48"/>
    </row>
    <row r="31" spans="1:17" s="38" customFormat="1" ht="18" x14ac:dyDescent="0.35">
      <c r="A31" s="75">
        <f>IF(F31&lt;&gt;"",(LARGE(A$10:A30,1)+1),"")</f>
        <v>10</v>
      </c>
      <c r="B31" s="38" t="s">
        <v>22</v>
      </c>
      <c r="C31" s="146">
        <f>C23</f>
        <v>1</v>
      </c>
      <c r="D31" s="51" t="s">
        <v>12</v>
      </c>
      <c r="E31" s="48">
        <f t="shared" si="3"/>
        <v>260</v>
      </c>
      <c r="F31" s="203">
        <f>E31*C31</f>
        <v>260</v>
      </c>
      <c r="G31" s="48">
        <v>80</v>
      </c>
      <c r="H31" s="48">
        <v>180</v>
      </c>
      <c r="I31" s="48">
        <f>IF(D31=0," ",(G31)*(Details!$C$4+Details!$C$8))</f>
        <v>12.000000000000002</v>
      </c>
      <c r="J31" s="203">
        <f>IF(D31=0," ",(H31)*(Details!$C$6+Details!$C$8))</f>
        <v>27.000000000000004</v>
      </c>
      <c r="K31" s="59">
        <f>+G31*C31</f>
        <v>80</v>
      </c>
      <c r="L31" s="48">
        <f>+H31*C31</f>
        <v>180</v>
      </c>
      <c r="M31" s="48">
        <f>IF(D31=0," ",(I31*C31))</f>
        <v>12.000000000000002</v>
      </c>
      <c r="N31" s="203">
        <f>IF(D31=0," ",(J31*C31))</f>
        <v>27.000000000000004</v>
      </c>
      <c r="O31" s="59"/>
      <c r="P31" s="48"/>
      <c r="Q31" s="48"/>
    </row>
    <row r="32" spans="1:17" s="38" customFormat="1" ht="18" x14ac:dyDescent="0.35">
      <c r="A32" s="75" t="str">
        <f>IF(F32&lt;&gt;"",(LARGE(A$10:A31,1)+1),"")</f>
        <v/>
      </c>
      <c r="C32" s="203"/>
      <c r="D32" s="51"/>
      <c r="E32" s="48"/>
      <c r="F32" s="203"/>
      <c r="G32" s="59"/>
      <c r="H32" s="48"/>
      <c r="I32" s="48"/>
      <c r="J32" s="203"/>
      <c r="K32" s="48"/>
      <c r="L32" s="48"/>
      <c r="M32" s="48"/>
      <c r="N32" s="48"/>
      <c r="O32" s="59"/>
      <c r="P32" s="48"/>
      <c r="Q32" s="48"/>
    </row>
    <row r="33" spans="1:17" s="38" customFormat="1" ht="18" x14ac:dyDescent="0.35">
      <c r="A33" s="75">
        <f>IF(F33&lt;&gt;"",(LARGE(A$10:A32,1)+1),"")</f>
        <v>11</v>
      </c>
      <c r="B33" s="38" t="s">
        <v>193</v>
      </c>
      <c r="C33" s="146">
        <f>+C31*5</f>
        <v>5</v>
      </c>
      <c r="D33" s="51" t="s">
        <v>13</v>
      </c>
      <c r="E33" s="48">
        <f t="shared" si="3"/>
        <v>7.2</v>
      </c>
      <c r="F33" s="203">
        <f>E33*C33</f>
        <v>36</v>
      </c>
      <c r="G33" s="48">
        <v>3</v>
      </c>
      <c r="H33" s="48">
        <v>4.2</v>
      </c>
      <c r="I33" s="48">
        <f>IF(D33=0," ",(G33)*(Details!$C$4+Details!$C$8))</f>
        <v>0.45000000000000007</v>
      </c>
      <c r="J33" s="203">
        <f>IF(D33=0," ",(H33)*(Details!$C$6+Details!$C$8))</f>
        <v>0.63000000000000012</v>
      </c>
      <c r="K33" s="59">
        <f>+G33*C33</f>
        <v>15</v>
      </c>
      <c r="L33" s="48">
        <f>+H33*C33</f>
        <v>21</v>
      </c>
      <c r="M33" s="48">
        <f>IF(D33=0," ",(I33*C33))</f>
        <v>2.2500000000000004</v>
      </c>
      <c r="N33" s="203">
        <f>IF(D33=0," ",(J33*C33))</f>
        <v>3.1500000000000004</v>
      </c>
      <c r="O33" s="59"/>
      <c r="P33" s="48"/>
      <c r="Q33" s="48"/>
    </row>
    <row r="34" spans="1:17" s="38" customFormat="1" ht="18" x14ac:dyDescent="0.35">
      <c r="A34" s="75" t="str">
        <f>IF(F34&lt;&gt;"",(LARGE(A$10:A33,1)+1),"")</f>
        <v/>
      </c>
      <c r="B34" s="168"/>
      <c r="C34" s="203"/>
      <c r="D34" s="51"/>
      <c r="E34" s="48"/>
      <c r="F34" s="203"/>
      <c r="G34" s="59"/>
      <c r="H34" s="48"/>
      <c r="I34" s="48"/>
      <c r="J34" s="203"/>
      <c r="K34" s="48"/>
      <c r="L34" s="48"/>
      <c r="M34" s="48"/>
      <c r="N34" s="48"/>
      <c r="O34" s="59"/>
      <c r="P34" s="48"/>
      <c r="Q34" s="48"/>
    </row>
    <row r="35" spans="1:17" s="38" customFormat="1" ht="18" x14ac:dyDescent="0.35">
      <c r="A35" s="75" t="str">
        <f>IF(F35&lt;&gt;"",(LARGE(A$10:A34,1)+1),"")</f>
        <v/>
      </c>
      <c r="B35" s="170" t="s">
        <v>56</v>
      </c>
      <c r="C35" s="146"/>
      <c r="D35" s="60"/>
      <c r="E35" s="48"/>
      <c r="F35" s="203"/>
      <c r="G35" s="48"/>
      <c r="H35" s="48"/>
      <c r="I35" s="48"/>
      <c r="J35" s="203"/>
      <c r="K35" s="59"/>
      <c r="L35" s="48"/>
      <c r="M35" s="48"/>
      <c r="N35" s="203" t="str">
        <f t="shared" ref="N35" si="4">IF(D35=0," ",(J35*C35))</f>
        <v xml:space="preserve"> </v>
      </c>
      <c r="O35" s="59"/>
      <c r="P35" s="48"/>
      <c r="Q35" s="48"/>
    </row>
    <row r="36" spans="1:17" s="38" customFormat="1" ht="18" x14ac:dyDescent="0.35">
      <c r="A36" s="75" t="str">
        <f>IF(F36&lt;&gt;"",(LARGE(A$10:A35,1)+1),"")</f>
        <v/>
      </c>
      <c r="C36" s="146"/>
      <c r="D36" s="51"/>
      <c r="E36" s="48"/>
      <c r="F36" s="203"/>
      <c r="G36" s="59"/>
      <c r="H36" s="48"/>
      <c r="I36" s="48"/>
      <c r="J36" s="203"/>
      <c r="K36" s="48"/>
      <c r="L36" s="48"/>
      <c r="M36" s="48"/>
      <c r="N36" s="48"/>
      <c r="O36" s="345"/>
      <c r="P36" s="48"/>
      <c r="Q36" s="48"/>
    </row>
    <row r="37" spans="1:17" s="38" customFormat="1" ht="18" x14ac:dyDescent="0.35">
      <c r="A37" s="75">
        <f>IF(F37&lt;&gt;"",(LARGE(A$10:A36,1)+1),"")</f>
        <v>12</v>
      </c>
      <c r="B37" s="38" t="s">
        <v>57</v>
      </c>
      <c r="C37" s="146">
        <v>1</v>
      </c>
      <c r="D37" s="51" t="s">
        <v>12</v>
      </c>
      <c r="E37" s="48">
        <f t="shared" ref="E37:E45" si="5">G37+H37</f>
        <v>280</v>
      </c>
      <c r="F37" s="203">
        <f>E37*C37</f>
        <v>280</v>
      </c>
      <c r="G37" s="48">
        <v>280</v>
      </c>
      <c r="H37" s="48">
        <v>0</v>
      </c>
      <c r="I37" s="48">
        <f>IF(D37=0," ",(G37)*(Details!$C$4+Details!$C$8))</f>
        <v>42.000000000000007</v>
      </c>
      <c r="J37" s="203">
        <f>IF(D37=0," ",(H37)*(Details!$C$6+Details!$C$8))</f>
        <v>0</v>
      </c>
      <c r="K37" s="59">
        <f>+G37*C37</f>
        <v>280</v>
      </c>
      <c r="L37" s="48">
        <f>+H37*C37</f>
        <v>0</v>
      </c>
      <c r="M37" s="48">
        <f>IF(D37=0," ",(I37*C37))</f>
        <v>42.000000000000007</v>
      </c>
      <c r="N37" s="203">
        <f>IF(D37=0," ",(J37*C37))</f>
        <v>0</v>
      </c>
      <c r="O37" s="55"/>
      <c r="P37" s="48"/>
      <c r="Q37" s="48"/>
    </row>
    <row r="38" spans="1:17" s="38" customFormat="1" ht="18" x14ac:dyDescent="0.35">
      <c r="A38" s="75" t="str">
        <f>IF(F38&lt;&gt;"",(LARGE(A$10:A37,1)+1),"")</f>
        <v/>
      </c>
      <c r="C38" s="203"/>
      <c r="D38" s="51"/>
      <c r="E38" s="48"/>
      <c r="F38" s="203"/>
      <c r="G38" s="59"/>
      <c r="H38" s="48"/>
      <c r="I38" s="48"/>
      <c r="J38" s="203"/>
      <c r="K38" s="48"/>
      <c r="L38" s="48"/>
      <c r="M38" s="48"/>
      <c r="N38" s="48"/>
      <c r="O38" s="59"/>
      <c r="P38" s="48"/>
      <c r="Q38" s="48"/>
    </row>
    <row r="39" spans="1:17" s="38" customFormat="1" ht="18" x14ac:dyDescent="0.35">
      <c r="A39" s="75">
        <f>IF(F39&lt;&gt;"",(LARGE(A$10:A38,1)+1),"")</f>
        <v>13</v>
      </c>
      <c r="B39" s="38" t="s">
        <v>213</v>
      </c>
      <c r="C39" s="146">
        <f>C37</f>
        <v>1</v>
      </c>
      <c r="D39" s="51" t="s">
        <v>12</v>
      </c>
      <c r="E39" s="48">
        <f t="shared" si="5"/>
        <v>1320</v>
      </c>
      <c r="F39" s="203">
        <f>E39*C39</f>
        <v>1320</v>
      </c>
      <c r="G39" s="48">
        <v>0</v>
      </c>
      <c r="H39" s="48">
        <v>1320</v>
      </c>
      <c r="I39" s="48">
        <f>IF(D39=0," ",(G39)*(Details!$C$4+Details!$C$8))</f>
        <v>0</v>
      </c>
      <c r="J39" s="203">
        <f>IF(D39=0," ",(H39)*(Details!$C$6+Details!$C$8))</f>
        <v>198.00000000000003</v>
      </c>
      <c r="K39" s="59">
        <f>+G39*C39</f>
        <v>0</v>
      </c>
      <c r="L39" s="48">
        <f>+H39*C39</f>
        <v>1320</v>
      </c>
      <c r="M39" s="48">
        <f>IF(D39=0," ",(I39*C39))</f>
        <v>0</v>
      </c>
      <c r="N39" s="203">
        <f>IF(D39=0," ",(J39*C39))</f>
        <v>198.00000000000003</v>
      </c>
      <c r="O39" s="59"/>
      <c r="P39" s="48"/>
      <c r="Q39" s="48"/>
    </row>
    <row r="40" spans="1:17" s="38" customFormat="1" ht="18" x14ac:dyDescent="0.35">
      <c r="A40" s="75" t="str">
        <f>IF(F40&lt;&gt;"",(LARGE(A$10:A39,1)+1),"")</f>
        <v/>
      </c>
      <c r="C40" s="203"/>
      <c r="D40" s="51"/>
      <c r="E40" s="48"/>
      <c r="F40" s="203"/>
      <c r="G40" s="48"/>
      <c r="H40" s="48"/>
      <c r="I40" s="48"/>
      <c r="J40" s="203"/>
      <c r="K40" s="48"/>
      <c r="L40" s="48"/>
      <c r="M40" s="48"/>
      <c r="N40" s="48"/>
      <c r="O40" s="59"/>
      <c r="P40" s="48"/>
      <c r="Q40" s="48"/>
    </row>
    <row r="41" spans="1:17" s="38" customFormat="1" ht="18" x14ac:dyDescent="0.35">
      <c r="A41" s="75">
        <f>IF(F41&lt;&gt;"",(LARGE(A$10:A40,1)+1),"")</f>
        <v>14</v>
      </c>
      <c r="B41" s="38" t="s">
        <v>27</v>
      </c>
      <c r="C41" s="146">
        <f>C37</f>
        <v>1</v>
      </c>
      <c r="D41" s="51" t="s">
        <v>12</v>
      </c>
      <c r="E41" s="48">
        <f t="shared" si="5"/>
        <v>80</v>
      </c>
      <c r="F41" s="203">
        <f>E41*C41</f>
        <v>80</v>
      </c>
      <c r="G41" s="48">
        <v>80</v>
      </c>
      <c r="H41" s="48">
        <v>0</v>
      </c>
      <c r="I41" s="48">
        <f>IF(D41=0," ",(G41)*(Details!$C$4+Details!$C$8))</f>
        <v>12.000000000000002</v>
      </c>
      <c r="J41" s="203">
        <f>IF(D41=0," ",(H41)*(Details!$C$6+Details!$C$8))</f>
        <v>0</v>
      </c>
      <c r="K41" s="59">
        <f>+G41*C41</f>
        <v>80</v>
      </c>
      <c r="L41" s="48">
        <f>+H41*C41</f>
        <v>0</v>
      </c>
      <c r="M41" s="48">
        <f>IF(D41=0," ",(I41*C41))</f>
        <v>12.000000000000002</v>
      </c>
      <c r="N41" s="203">
        <f>IF(D41=0," ",(J41*C41))</f>
        <v>0</v>
      </c>
      <c r="O41" s="59"/>
      <c r="P41" s="48"/>
      <c r="Q41" s="48"/>
    </row>
    <row r="42" spans="1:17" s="38" customFormat="1" ht="18" x14ac:dyDescent="0.35">
      <c r="A42" s="75" t="str">
        <f>IF(F42&lt;&gt;"",(LARGE(A$10:A41,1)+1),"")</f>
        <v/>
      </c>
      <c r="C42" s="203"/>
      <c r="D42" s="51"/>
      <c r="E42" s="48"/>
      <c r="F42" s="203"/>
      <c r="G42" s="59"/>
      <c r="H42" s="48"/>
      <c r="I42" s="48"/>
      <c r="J42" s="203"/>
      <c r="K42" s="48"/>
      <c r="L42" s="48"/>
      <c r="M42" s="48"/>
      <c r="N42" s="48"/>
      <c r="O42" s="59"/>
      <c r="P42" s="48"/>
      <c r="Q42" s="48"/>
    </row>
    <row r="43" spans="1:17" s="38" customFormat="1" ht="18" x14ac:dyDescent="0.35">
      <c r="A43" s="75">
        <f>IF(F43&lt;&gt;"",(LARGE(A$10:A42,1)+1),"")</f>
        <v>15</v>
      </c>
      <c r="B43" s="38" t="s">
        <v>212</v>
      </c>
      <c r="C43" s="146">
        <f>C41</f>
        <v>1</v>
      </c>
      <c r="D43" s="51" t="s">
        <v>12</v>
      </c>
      <c r="E43" s="48">
        <f t="shared" si="5"/>
        <v>135</v>
      </c>
      <c r="F43" s="203">
        <f>E43*C43</f>
        <v>135</v>
      </c>
      <c r="G43" s="48">
        <v>0</v>
      </c>
      <c r="H43" s="48">
        <v>135</v>
      </c>
      <c r="I43" s="48">
        <f>IF(D43=0," ",(G43)*(Details!$C$4+Details!$C$8))</f>
        <v>0</v>
      </c>
      <c r="J43" s="203">
        <f>IF(D43=0," ",(H43)*(Details!$C$6+Details!$C$8))</f>
        <v>20.250000000000004</v>
      </c>
      <c r="K43" s="59">
        <f>+G43*C43</f>
        <v>0</v>
      </c>
      <c r="L43" s="48">
        <f>+H43*C43</f>
        <v>135</v>
      </c>
      <c r="M43" s="48">
        <f>IF(D43=0," ",(I43*C43))</f>
        <v>0</v>
      </c>
      <c r="N43" s="203">
        <f>IF(D43=0," ",(J43*C43))</f>
        <v>20.250000000000004</v>
      </c>
      <c r="O43" s="59"/>
      <c r="P43" s="48"/>
      <c r="Q43" s="48"/>
    </row>
    <row r="44" spans="1:17" s="38" customFormat="1" ht="18" x14ac:dyDescent="0.35">
      <c r="A44" s="75" t="str">
        <f>IF(F44&lt;&gt;"",(LARGE(A$10:A43,1)+1),"")</f>
        <v/>
      </c>
      <c r="C44" s="203"/>
      <c r="D44" s="51"/>
      <c r="E44" s="48"/>
      <c r="F44" s="203"/>
      <c r="G44" s="48"/>
      <c r="H44" s="48"/>
      <c r="I44" s="48"/>
      <c r="J44" s="203"/>
      <c r="K44" s="48"/>
      <c r="L44" s="48"/>
      <c r="M44" s="48"/>
      <c r="N44" s="48"/>
      <c r="O44" s="59"/>
      <c r="P44" s="48"/>
      <c r="Q44" s="48"/>
    </row>
    <row r="45" spans="1:17" s="38" customFormat="1" ht="18" x14ac:dyDescent="0.35">
      <c r="A45" s="75">
        <f>IF(F45&lt;&gt;"",(LARGE(A$10:A44,1)+1),"")</f>
        <v>16</v>
      </c>
      <c r="B45" s="38" t="s">
        <v>22</v>
      </c>
      <c r="C45" s="146">
        <f>C41</f>
        <v>1</v>
      </c>
      <c r="D45" s="51" t="s">
        <v>12</v>
      </c>
      <c r="E45" s="48">
        <f t="shared" si="5"/>
        <v>260</v>
      </c>
      <c r="F45" s="203">
        <f>E45*C45</f>
        <v>260</v>
      </c>
      <c r="G45" s="48">
        <v>80</v>
      </c>
      <c r="H45" s="48">
        <v>180</v>
      </c>
      <c r="I45" s="48">
        <f>IF(D45=0," ",(G45)*(Details!$C$4+Details!$C$8))</f>
        <v>12.000000000000002</v>
      </c>
      <c r="J45" s="203">
        <f>IF(D45=0," ",(H45)*(Details!$C$6+Details!$C$8))</f>
        <v>27.000000000000004</v>
      </c>
      <c r="K45" s="59">
        <f>+G45*C45</f>
        <v>80</v>
      </c>
      <c r="L45" s="48">
        <f>+H45*C45</f>
        <v>180</v>
      </c>
      <c r="M45" s="48">
        <f>IF(D45=0," ",(I45*C45))</f>
        <v>12.000000000000002</v>
      </c>
      <c r="N45" s="203">
        <f>IF(D45=0," ",(J45*C45))</f>
        <v>27.000000000000004</v>
      </c>
      <c r="O45" s="59"/>
      <c r="P45" s="48"/>
      <c r="Q45" s="48"/>
    </row>
    <row r="46" spans="1:17" s="38" customFormat="1" ht="18" x14ac:dyDescent="0.35">
      <c r="A46" s="75" t="str">
        <f>IF(F46&lt;&gt;"",(LARGE(A$10:A45,1)+1),"")</f>
        <v/>
      </c>
      <c r="C46" s="203"/>
      <c r="D46" s="51"/>
      <c r="E46" s="48"/>
      <c r="F46" s="203"/>
      <c r="G46" s="59"/>
      <c r="H46" s="48"/>
      <c r="I46" s="48"/>
      <c r="J46" s="203"/>
      <c r="K46" s="48"/>
      <c r="L46" s="48"/>
      <c r="M46" s="48"/>
      <c r="N46" s="48"/>
      <c r="O46" s="59"/>
      <c r="P46" s="48"/>
      <c r="Q46" s="48"/>
    </row>
    <row r="47" spans="1:17" s="21" customFormat="1" ht="18" x14ac:dyDescent="0.35">
      <c r="A47" s="75" t="str">
        <f>IF(F47&lt;&gt;"",(LARGE(A$10:A46,1)+1),"")</f>
        <v/>
      </c>
      <c r="B47" s="38"/>
      <c r="C47" s="146"/>
      <c r="D47" s="51"/>
      <c r="E47" s="48"/>
      <c r="F47" s="203"/>
      <c r="G47" s="59"/>
      <c r="H47" s="48"/>
      <c r="I47" s="48"/>
      <c r="J47" s="203"/>
      <c r="K47" s="218"/>
      <c r="L47" s="20"/>
      <c r="M47" s="20"/>
      <c r="N47" s="203"/>
    </row>
    <row r="48" spans="1:17" s="21" customFormat="1" ht="18" x14ac:dyDescent="0.35">
      <c r="A48" s="75" t="str">
        <f>IF(F48&lt;&gt;"",(LARGE(A$10:A47,1)+1),"")</f>
        <v/>
      </c>
      <c r="B48" s="168" t="s">
        <v>146</v>
      </c>
      <c r="C48" s="146"/>
      <c r="D48" s="51"/>
      <c r="E48" s="48"/>
      <c r="F48" s="203"/>
      <c r="G48" s="59"/>
      <c r="H48" s="48"/>
      <c r="I48" s="48" t="str">
        <f>IF(D48=0," ",(G48)*(Details!$C$4+Details!$C$8))</f>
        <v xml:space="preserve"> </v>
      </c>
      <c r="J48" s="203" t="str">
        <f>IF(D48=0," ",(H48)*(Details!$C$6+Details!$C$8))</f>
        <v xml:space="preserve"> </v>
      </c>
      <c r="K48" s="59"/>
      <c r="L48" s="48"/>
      <c r="M48" s="48" t="str">
        <f t="shared" ref="M48" si="6">IF(D48=0," ",(I48*C48))</f>
        <v xml:space="preserve"> </v>
      </c>
      <c r="N48" s="203" t="str">
        <f t="shared" ref="N48:N49" si="7">IF(D48=0," ",(J48*C48))</f>
        <v xml:space="preserve"> </v>
      </c>
    </row>
    <row r="49" spans="1:14" s="21" customFormat="1" ht="18" x14ac:dyDescent="0.35">
      <c r="A49" s="75" t="str">
        <f>IF(F49&lt;&gt;"",(LARGE(A$10:A48,1)+1),"")</f>
        <v/>
      </c>
      <c r="B49" s="153"/>
      <c r="C49" s="154"/>
      <c r="D49" s="51"/>
      <c r="E49" s="48"/>
      <c r="F49" s="203"/>
      <c r="G49" s="59"/>
      <c r="H49" s="48"/>
      <c r="I49" s="48"/>
      <c r="J49" s="203"/>
      <c r="K49" s="218"/>
      <c r="L49" s="20"/>
      <c r="M49" s="20"/>
      <c r="N49" s="203" t="str">
        <f t="shared" si="7"/>
        <v xml:space="preserve"> </v>
      </c>
    </row>
    <row r="50" spans="1:14" s="21" customFormat="1" ht="18" x14ac:dyDescent="0.35">
      <c r="A50" s="75">
        <f>IF(F50&lt;&gt;"",(LARGE(A$10:A49,1)+1),"")</f>
        <v>17</v>
      </c>
      <c r="B50" s="38" t="s">
        <v>214</v>
      </c>
      <c r="C50" s="146">
        <v>100</v>
      </c>
      <c r="D50" s="51" t="s">
        <v>13</v>
      </c>
      <c r="E50" s="48">
        <f t="shared" ref="E50" si="8">G50+H50</f>
        <v>8</v>
      </c>
      <c r="F50" s="203">
        <f>E50*C50</f>
        <v>800</v>
      </c>
      <c r="G50" s="48">
        <v>8</v>
      </c>
      <c r="H50" s="48">
        <v>0</v>
      </c>
      <c r="I50" s="48">
        <f>IF(D50=0," ",(G50)*(Details!$C$4+Details!$C$8))</f>
        <v>1.2000000000000002</v>
      </c>
      <c r="J50" s="203">
        <f>IF(D50=0," ",(H50)*(Details!$C$6+Details!$C$8))</f>
        <v>0</v>
      </c>
      <c r="K50" s="59">
        <f>+G50*C50</f>
        <v>800</v>
      </c>
      <c r="L50" s="48">
        <f>+H50*C50</f>
        <v>0</v>
      </c>
      <c r="M50" s="48">
        <f>IF(D50=0," ",(I50*C50))</f>
        <v>120.00000000000001</v>
      </c>
      <c r="N50" s="203">
        <f>IF(D50=0," ",(J50*C50))</f>
        <v>0</v>
      </c>
    </row>
    <row r="51" spans="1:14" s="21" customFormat="1" ht="18" x14ac:dyDescent="0.35">
      <c r="A51" s="75" t="str">
        <f>IF(F51&lt;&gt;"",(LARGE(A$10:A50,1)+1),"")</f>
        <v/>
      </c>
      <c r="B51" s="38"/>
      <c r="C51" s="154"/>
      <c r="D51" s="51"/>
      <c r="E51" s="48"/>
      <c r="F51" s="203"/>
      <c r="G51" s="48"/>
      <c r="H51" s="48"/>
      <c r="I51" s="48"/>
      <c r="J51" s="203"/>
      <c r="K51" s="218"/>
      <c r="L51" s="20"/>
      <c r="M51" s="20"/>
      <c r="N51" s="203"/>
    </row>
    <row r="52" spans="1:14" s="21" customFormat="1" ht="18" x14ac:dyDescent="0.35">
      <c r="A52" s="75" t="str">
        <f>IF(F52&lt;&gt;"",(LARGE(A$10:A51,1)+1),"")</f>
        <v/>
      </c>
      <c r="B52" s="168" t="s">
        <v>74</v>
      </c>
      <c r="C52" s="146"/>
      <c r="D52" s="51"/>
      <c r="E52" s="48"/>
      <c r="F52" s="203"/>
      <c r="G52" s="48"/>
      <c r="H52" s="48"/>
      <c r="I52" s="48" t="str">
        <f>IF(D52=0," ",(G52)*(Details!$C$4+Details!$C$8))</f>
        <v xml:space="preserve"> </v>
      </c>
      <c r="J52" s="203" t="str">
        <f>IF(D52=0," ",(H52)*(Details!$C$6+Details!$C$8))</f>
        <v xml:space="preserve"> </v>
      </c>
      <c r="K52" s="59"/>
      <c r="L52" s="48"/>
      <c r="M52" s="48" t="str">
        <f t="shared" ref="M52" si="9">IF(D52=0," ",(I52*C52))</f>
        <v xml:space="preserve"> </v>
      </c>
      <c r="N52" s="203" t="str">
        <f t="shared" ref="N52" si="10">IF(D52=0," ",(J52*C52))</f>
        <v xml:space="preserve"> </v>
      </c>
    </row>
    <row r="53" spans="1:14" s="21" customFormat="1" ht="18" x14ac:dyDescent="0.35">
      <c r="A53" s="75" t="str">
        <f>IF(F53&lt;&gt;"",(LARGE(A$10:A52,1)+1),"")</f>
        <v/>
      </c>
      <c r="B53" s="153"/>
      <c r="C53" s="154"/>
      <c r="D53" s="51"/>
      <c r="E53" s="48"/>
      <c r="F53" s="203"/>
      <c r="G53" s="48"/>
      <c r="H53" s="48"/>
      <c r="I53" s="48"/>
      <c r="J53" s="203"/>
      <c r="K53" s="218"/>
      <c r="L53" s="20"/>
      <c r="M53" s="20"/>
      <c r="N53" s="203"/>
    </row>
    <row r="54" spans="1:14" s="21" customFormat="1" ht="18" x14ac:dyDescent="0.35">
      <c r="A54" s="75">
        <f>IF(F54&lt;&gt;"",(LARGE(A$10:A53,1)+1),"")</f>
        <v>18</v>
      </c>
      <c r="B54" s="152" t="s">
        <v>215</v>
      </c>
      <c r="C54" s="146">
        <v>67</v>
      </c>
      <c r="D54" s="51" t="s">
        <v>13</v>
      </c>
      <c r="E54" s="48">
        <f t="shared" ref="E54" si="11">G54+H54</f>
        <v>8.8000000000000007</v>
      </c>
      <c r="F54" s="203">
        <f>E54*C54</f>
        <v>589.6</v>
      </c>
      <c r="G54" s="48">
        <v>8.8000000000000007</v>
      </c>
      <c r="H54" s="48">
        <v>0</v>
      </c>
      <c r="I54" s="48">
        <f>IF(D54=0," ",(G54)*(Details!$C$4+Details!$C$8))</f>
        <v>1.3200000000000003</v>
      </c>
      <c r="J54" s="203">
        <f>IF(D54=0," ",(H54)*(Details!$C$6+Details!$C$8))</f>
        <v>0</v>
      </c>
      <c r="K54" s="59">
        <f>+G54*C54</f>
        <v>589.6</v>
      </c>
      <c r="L54" s="48">
        <f>+H54*C54</f>
        <v>0</v>
      </c>
      <c r="M54" s="48">
        <f>IF(D54=0," ",(I54*C54))</f>
        <v>88.440000000000026</v>
      </c>
      <c r="N54" s="203">
        <f>IF(D54=0," ",(J54*C54))</f>
        <v>0</v>
      </c>
    </row>
    <row r="55" spans="1:14" s="21" customFormat="1" ht="18" x14ac:dyDescent="0.35">
      <c r="A55" s="75" t="str">
        <f>IF(F55&lt;&gt;"",(LARGE(A$10:A54,1)+1),"")</f>
        <v/>
      </c>
      <c r="B55" s="152"/>
      <c r="C55" s="146"/>
      <c r="D55" s="51"/>
      <c r="E55" s="48"/>
      <c r="F55" s="203"/>
      <c r="G55" s="48"/>
      <c r="H55" s="48"/>
      <c r="I55" s="48"/>
      <c r="J55" s="203"/>
      <c r="K55" s="218"/>
      <c r="L55" s="20"/>
      <c r="M55" s="20"/>
      <c r="N55" s="203"/>
    </row>
    <row r="56" spans="1:14" s="21" customFormat="1" ht="18" x14ac:dyDescent="0.35">
      <c r="A56" s="75" t="str">
        <f>IF(F56&lt;&gt;"",(LARGE(A$10:A55,1)+1),"")</f>
        <v/>
      </c>
      <c r="B56" s="152"/>
      <c r="C56" s="146"/>
      <c r="D56" s="51"/>
      <c r="E56" s="48"/>
      <c r="F56" s="203"/>
      <c r="G56" s="59"/>
      <c r="H56" s="48"/>
      <c r="I56" s="48"/>
      <c r="J56" s="203"/>
      <c r="K56" s="218"/>
      <c r="L56" s="20"/>
      <c r="M56" s="20"/>
      <c r="N56" s="203"/>
    </row>
    <row r="57" spans="1:14" s="21" customFormat="1" ht="18" x14ac:dyDescent="0.35">
      <c r="A57" s="75" t="str">
        <f>IF(F57&lt;&gt;"",(LARGE(A$10:A56,1)+1),"")</f>
        <v/>
      </c>
      <c r="B57" s="168" t="s">
        <v>75</v>
      </c>
      <c r="C57" s="146"/>
      <c r="D57" s="51"/>
      <c r="E57" s="48"/>
      <c r="F57" s="203"/>
      <c r="G57" s="59"/>
      <c r="H57" s="48"/>
      <c r="I57" s="48"/>
      <c r="J57" s="203"/>
      <c r="K57" s="218"/>
      <c r="L57" s="20"/>
      <c r="M57" s="20"/>
      <c r="N57" s="203"/>
    </row>
    <row r="58" spans="1:14" s="21" customFormat="1" ht="18" x14ac:dyDescent="0.35">
      <c r="A58" s="75" t="str">
        <f>IF(F58&lt;&gt;"",(LARGE(A$10:A57,1)+1),"")</f>
        <v/>
      </c>
      <c r="B58" s="38"/>
      <c r="C58" s="154"/>
      <c r="D58" s="51"/>
      <c r="E58" s="48"/>
      <c r="F58" s="203"/>
      <c r="G58" s="59"/>
      <c r="H58" s="48"/>
      <c r="I58" s="48"/>
      <c r="J58" s="203"/>
      <c r="K58" s="218"/>
      <c r="L58" s="20"/>
      <c r="M58" s="20"/>
      <c r="N58" s="203"/>
    </row>
    <row r="59" spans="1:14" s="21" customFormat="1" ht="18" x14ac:dyDescent="0.35">
      <c r="A59" s="75">
        <f>IF(F59&lt;&gt;"",(LARGE(A$10:A58,1)+1),"")</f>
        <v>19</v>
      </c>
      <c r="B59" s="152" t="s">
        <v>370</v>
      </c>
      <c r="C59" s="146">
        <v>1</v>
      </c>
      <c r="D59" s="51" t="s">
        <v>263</v>
      </c>
      <c r="E59" s="48">
        <f t="shared" ref="E59:E93" si="12">G59+H59</f>
        <v>1390</v>
      </c>
      <c r="F59" s="203">
        <f>E59*C59</f>
        <v>1390</v>
      </c>
      <c r="G59" s="48">
        <v>265</v>
      </c>
      <c r="H59" s="48">
        <v>1125</v>
      </c>
      <c r="I59" s="48">
        <f>IF(D59=0," ",(G59)*(Details!$C$4+Details!$C$8))</f>
        <v>39.750000000000007</v>
      </c>
      <c r="J59" s="203">
        <f>IF(D59=0," ",(H59)*(Details!$C$6+Details!$C$8))</f>
        <v>168.75000000000003</v>
      </c>
      <c r="K59" s="59">
        <f>+G59*C59</f>
        <v>265</v>
      </c>
      <c r="L59" s="48">
        <f>+H59*C59</f>
        <v>1125</v>
      </c>
      <c r="M59" s="48">
        <f>IF(D59=0," ",(I59*C59))</f>
        <v>39.750000000000007</v>
      </c>
      <c r="N59" s="203">
        <f>IF(D59=0," ",(J59*C59))</f>
        <v>168.75000000000003</v>
      </c>
    </row>
    <row r="60" spans="1:14" s="21" customFormat="1" ht="18" x14ac:dyDescent="0.35">
      <c r="A60" s="75"/>
      <c r="B60" s="152"/>
      <c r="C60" s="146"/>
      <c r="D60" s="51"/>
      <c r="E60" s="48"/>
      <c r="F60" s="203"/>
      <c r="G60" s="48"/>
      <c r="H60" s="48"/>
      <c r="I60" s="48"/>
      <c r="J60" s="203"/>
      <c r="K60" s="59"/>
      <c r="L60" s="48"/>
      <c r="M60" s="48"/>
      <c r="N60" s="203"/>
    </row>
    <row r="61" spans="1:14" s="21" customFormat="1" ht="18" x14ac:dyDescent="0.35">
      <c r="A61" s="75">
        <f>IF(F61&lt;&gt;"",(LARGE(A$10:A59,1)+1),"")</f>
        <v>20</v>
      </c>
      <c r="B61" s="152" t="s">
        <v>371</v>
      </c>
      <c r="C61" s="146">
        <v>1.05</v>
      </c>
      <c r="D61" s="51" t="s">
        <v>13</v>
      </c>
      <c r="E61" s="48">
        <f t="shared" si="12"/>
        <v>1285</v>
      </c>
      <c r="F61" s="203">
        <f t="shared" ref="F61:F95" si="13">E61*C61</f>
        <v>1349.25</v>
      </c>
      <c r="G61" s="48">
        <v>338</v>
      </c>
      <c r="H61" s="48">
        <v>947</v>
      </c>
      <c r="I61" s="48">
        <f>IF(D61=0," ",(G61)*(Details!$C$4+Details!$C$8))</f>
        <v>50.70000000000001</v>
      </c>
      <c r="J61" s="203">
        <f>IF(D61=0," ",(H61)*(Details!$C$6+Details!$C$8))</f>
        <v>142.05000000000001</v>
      </c>
      <c r="K61" s="59">
        <f t="shared" ref="K61:K95" si="14">+G61*C61</f>
        <v>354.90000000000003</v>
      </c>
      <c r="L61" s="48">
        <f t="shared" ref="L61:L95" si="15">+H61*C61</f>
        <v>994.35</v>
      </c>
      <c r="M61" s="48">
        <f t="shared" ref="M61:M95" si="16">IF(D61=0," ",(I61*C61))</f>
        <v>53.235000000000014</v>
      </c>
      <c r="N61" s="203">
        <f t="shared" ref="N61:N95" si="17">IF(D61=0," ",(J61*C61))</f>
        <v>149.15250000000003</v>
      </c>
    </row>
    <row r="62" spans="1:14" s="21" customFormat="1" ht="18" x14ac:dyDescent="0.35">
      <c r="A62" s="75"/>
      <c r="B62" s="152"/>
      <c r="C62" s="146"/>
      <c r="D62" s="51"/>
      <c r="E62" s="48"/>
      <c r="F62" s="203"/>
      <c r="G62" s="48"/>
      <c r="H62" s="48"/>
      <c r="I62" s="48"/>
      <c r="J62" s="203"/>
      <c r="K62" s="59"/>
      <c r="L62" s="48"/>
      <c r="M62" s="48"/>
      <c r="N62" s="203"/>
    </row>
    <row r="63" spans="1:14" s="21" customFormat="1" ht="18" x14ac:dyDescent="0.35">
      <c r="A63" s="75">
        <f>IF(F63&lt;&gt;"",(LARGE(A$10:A61,1)+1),"")</f>
        <v>21</v>
      </c>
      <c r="B63" s="152" t="s">
        <v>372</v>
      </c>
      <c r="C63" s="146">
        <v>0.56999999999999995</v>
      </c>
      <c r="D63" s="51" t="s">
        <v>13</v>
      </c>
      <c r="E63" s="48">
        <f t="shared" si="12"/>
        <v>1107</v>
      </c>
      <c r="F63" s="203">
        <f t="shared" si="13"/>
        <v>630.9899999999999</v>
      </c>
      <c r="G63" s="48">
        <v>272</v>
      </c>
      <c r="H63" s="48">
        <v>835</v>
      </c>
      <c r="I63" s="48">
        <f>IF(D63=0," ",(G63)*(Details!$C$4+Details!$C$8))</f>
        <v>40.800000000000004</v>
      </c>
      <c r="J63" s="203">
        <f>IF(D63=0," ",(H63)*(Details!$C$6+Details!$C$8))</f>
        <v>125.25000000000001</v>
      </c>
      <c r="K63" s="59">
        <f t="shared" si="14"/>
        <v>155.04</v>
      </c>
      <c r="L63" s="48">
        <f t="shared" si="15"/>
        <v>475.94999999999993</v>
      </c>
      <c r="M63" s="48">
        <f t="shared" si="16"/>
        <v>23.256</v>
      </c>
      <c r="N63" s="203">
        <f t="shared" si="17"/>
        <v>71.392499999999998</v>
      </c>
    </row>
    <row r="64" spans="1:14" s="21" customFormat="1" ht="18" x14ac:dyDescent="0.35">
      <c r="A64" s="75"/>
      <c r="B64" s="152"/>
      <c r="C64" s="146"/>
      <c r="D64" s="51"/>
      <c r="E64" s="48"/>
      <c r="F64" s="203"/>
      <c r="G64" s="48"/>
      <c r="H64" s="48"/>
      <c r="I64" s="48"/>
      <c r="J64" s="203"/>
      <c r="K64" s="59"/>
      <c r="L64" s="48"/>
      <c r="M64" s="48"/>
      <c r="N64" s="203"/>
    </row>
    <row r="65" spans="1:14" s="21" customFormat="1" ht="18" x14ac:dyDescent="0.35">
      <c r="A65" s="75">
        <f>IF(F65&lt;&gt;"",(LARGE(A$10:A63,1)+1),"")</f>
        <v>22</v>
      </c>
      <c r="B65" s="152" t="s">
        <v>373</v>
      </c>
      <c r="C65" s="146">
        <v>1.23</v>
      </c>
      <c r="D65" s="51" t="s">
        <v>13</v>
      </c>
      <c r="E65" s="48">
        <f t="shared" si="12"/>
        <v>1107</v>
      </c>
      <c r="F65" s="203">
        <f t="shared" si="13"/>
        <v>1361.61</v>
      </c>
      <c r="G65" s="48">
        <v>272</v>
      </c>
      <c r="H65" s="48">
        <v>835</v>
      </c>
      <c r="I65" s="48">
        <f>IF(D65=0," ",(G65)*(Details!$C$4+Details!$C$8))</f>
        <v>40.800000000000004</v>
      </c>
      <c r="J65" s="203">
        <f>IF(D65=0," ",(H65)*(Details!$C$6+Details!$C$8))</f>
        <v>125.25000000000001</v>
      </c>
      <c r="K65" s="59">
        <f t="shared" si="14"/>
        <v>334.56</v>
      </c>
      <c r="L65" s="48">
        <f t="shared" si="15"/>
        <v>1027.05</v>
      </c>
      <c r="M65" s="48">
        <f t="shared" si="16"/>
        <v>50.184000000000005</v>
      </c>
      <c r="N65" s="203">
        <f t="shared" si="17"/>
        <v>154.0575</v>
      </c>
    </row>
    <row r="66" spans="1:14" s="21" customFormat="1" ht="18" x14ac:dyDescent="0.35">
      <c r="A66" s="75"/>
      <c r="B66" s="152"/>
      <c r="C66" s="146"/>
      <c r="D66" s="51"/>
      <c r="E66" s="48"/>
      <c r="F66" s="203"/>
      <c r="G66" s="48"/>
      <c r="H66" s="48"/>
      <c r="I66" s="48"/>
      <c r="J66" s="203"/>
      <c r="K66" s="59"/>
      <c r="L66" s="48"/>
      <c r="M66" s="48"/>
      <c r="N66" s="203"/>
    </row>
    <row r="67" spans="1:14" s="21" customFormat="1" ht="18" x14ac:dyDescent="0.35">
      <c r="A67" s="75">
        <f>IF(F67&lt;&gt;"",(LARGE(A$10:A65,1)+1),"")</f>
        <v>23</v>
      </c>
      <c r="B67" s="152" t="s">
        <v>374</v>
      </c>
      <c r="C67" s="146">
        <v>1.19</v>
      </c>
      <c r="D67" s="51" t="s">
        <v>13</v>
      </c>
      <c r="E67" s="48">
        <f t="shared" si="12"/>
        <v>736</v>
      </c>
      <c r="F67" s="203">
        <f t="shared" si="13"/>
        <v>875.83999999999992</v>
      </c>
      <c r="G67" s="48">
        <v>188</v>
      </c>
      <c r="H67" s="48">
        <v>548</v>
      </c>
      <c r="I67" s="48">
        <f>IF(D67=0," ",(G67)*(Details!$C$4+Details!$C$8))</f>
        <v>28.200000000000003</v>
      </c>
      <c r="J67" s="203">
        <f>IF(D67=0," ",(H67)*(Details!$C$6+Details!$C$8))</f>
        <v>82.200000000000017</v>
      </c>
      <c r="K67" s="59">
        <f t="shared" si="14"/>
        <v>223.72</v>
      </c>
      <c r="L67" s="48">
        <f t="shared" si="15"/>
        <v>652.12</v>
      </c>
      <c r="M67" s="48">
        <f t="shared" si="16"/>
        <v>33.558</v>
      </c>
      <c r="N67" s="203">
        <f t="shared" si="17"/>
        <v>97.818000000000012</v>
      </c>
    </row>
    <row r="68" spans="1:14" s="21" customFormat="1" ht="18" x14ac:dyDescent="0.35">
      <c r="A68" s="75"/>
      <c r="B68" s="152"/>
      <c r="C68" s="146"/>
      <c r="D68" s="51"/>
      <c r="E68" s="48"/>
      <c r="F68" s="203"/>
      <c r="G68" s="48"/>
      <c r="H68" s="48"/>
      <c r="I68" s="48"/>
      <c r="J68" s="203"/>
      <c r="K68" s="59"/>
      <c r="L68" s="48"/>
      <c r="M68" s="48"/>
      <c r="N68" s="203"/>
    </row>
    <row r="69" spans="1:14" s="21" customFormat="1" ht="18" x14ac:dyDescent="0.35">
      <c r="A69" s="75">
        <f>IF(F69&lt;&gt;"",(LARGE(A$10:A67,1)+1),"")</f>
        <v>24</v>
      </c>
      <c r="B69" s="152" t="s">
        <v>375</v>
      </c>
      <c r="C69" s="146">
        <v>0.9</v>
      </c>
      <c r="D69" s="51" t="s">
        <v>13</v>
      </c>
      <c r="E69" s="48">
        <f t="shared" si="12"/>
        <v>662</v>
      </c>
      <c r="F69" s="203">
        <f t="shared" si="13"/>
        <v>595.80000000000007</v>
      </c>
      <c r="G69" s="48">
        <v>178</v>
      </c>
      <c r="H69" s="48">
        <v>484</v>
      </c>
      <c r="I69" s="48">
        <f>IF(D69=0," ",(G69)*(Details!$C$4+Details!$C$8))</f>
        <v>26.700000000000003</v>
      </c>
      <c r="J69" s="203">
        <f>IF(D69=0," ",(H69)*(Details!$C$6+Details!$C$8))</f>
        <v>72.600000000000009</v>
      </c>
      <c r="K69" s="59">
        <f t="shared" si="14"/>
        <v>160.20000000000002</v>
      </c>
      <c r="L69" s="48">
        <f t="shared" si="15"/>
        <v>435.6</v>
      </c>
      <c r="M69" s="48">
        <f t="shared" si="16"/>
        <v>24.030000000000005</v>
      </c>
      <c r="N69" s="203">
        <f t="shared" si="17"/>
        <v>65.34</v>
      </c>
    </row>
    <row r="70" spans="1:14" s="21" customFormat="1" ht="18" x14ac:dyDescent="0.35">
      <c r="A70" s="75"/>
      <c r="B70" s="152"/>
      <c r="C70" s="146"/>
      <c r="D70" s="51"/>
      <c r="E70" s="48"/>
      <c r="F70" s="203"/>
      <c r="G70" s="48"/>
      <c r="H70" s="48"/>
      <c r="I70" s="48"/>
      <c r="J70" s="203"/>
      <c r="K70" s="59"/>
      <c r="L70" s="48"/>
      <c r="M70" s="48"/>
      <c r="N70" s="203"/>
    </row>
    <row r="71" spans="1:14" s="21" customFormat="1" ht="18" x14ac:dyDescent="0.35">
      <c r="A71" s="75">
        <f>IF(F71&lt;&gt;"",(LARGE(A$10:A69,1)+1),"")</f>
        <v>25</v>
      </c>
      <c r="B71" s="152" t="s">
        <v>376</v>
      </c>
      <c r="C71" s="146">
        <v>2.21</v>
      </c>
      <c r="D71" s="51" t="s">
        <v>13</v>
      </c>
      <c r="E71" s="48">
        <f t="shared" si="12"/>
        <v>879</v>
      </c>
      <c r="F71" s="203">
        <f t="shared" si="13"/>
        <v>1942.59</v>
      </c>
      <c r="G71" s="48">
        <v>224</v>
      </c>
      <c r="H71" s="48">
        <v>655</v>
      </c>
      <c r="I71" s="48">
        <f>IF(D71=0," ",(G71)*(Details!$C$4+Details!$C$8))</f>
        <v>33.600000000000009</v>
      </c>
      <c r="J71" s="203">
        <f>IF(D71=0," ",(H71)*(Details!$C$6+Details!$C$8))</f>
        <v>98.250000000000014</v>
      </c>
      <c r="K71" s="59">
        <f t="shared" si="14"/>
        <v>495.03999999999996</v>
      </c>
      <c r="L71" s="48">
        <f t="shared" si="15"/>
        <v>1447.55</v>
      </c>
      <c r="M71" s="48">
        <f t="shared" si="16"/>
        <v>74.256000000000014</v>
      </c>
      <c r="N71" s="203">
        <f t="shared" si="17"/>
        <v>217.13250000000002</v>
      </c>
    </row>
    <row r="72" spans="1:14" s="21" customFormat="1" ht="18" x14ac:dyDescent="0.35">
      <c r="A72" s="75"/>
      <c r="B72" s="152"/>
      <c r="C72" s="146"/>
      <c r="D72" s="51"/>
      <c r="E72" s="48"/>
      <c r="F72" s="203"/>
      <c r="G72" s="48"/>
      <c r="H72" s="48"/>
      <c r="I72" s="48"/>
      <c r="J72" s="203"/>
      <c r="K72" s="59"/>
      <c r="L72" s="48"/>
      <c r="M72" s="48"/>
      <c r="N72" s="203"/>
    </row>
    <row r="73" spans="1:14" s="21" customFormat="1" ht="18" x14ac:dyDescent="0.35">
      <c r="A73" s="75">
        <f>IF(F73&lt;&gt;"",(LARGE(A$10:A71,1)+1),"")</f>
        <v>26</v>
      </c>
      <c r="B73" s="152" t="s">
        <v>377</v>
      </c>
      <c r="C73" s="146">
        <v>4.38</v>
      </c>
      <c r="D73" s="51" t="s">
        <v>13</v>
      </c>
      <c r="E73" s="48">
        <f t="shared" si="12"/>
        <v>909</v>
      </c>
      <c r="F73" s="203">
        <f t="shared" si="13"/>
        <v>3981.42</v>
      </c>
      <c r="G73" s="48">
        <v>224</v>
      </c>
      <c r="H73" s="48">
        <v>685</v>
      </c>
      <c r="I73" s="48">
        <f>IF(D73=0," ",(G73)*(Details!$C$4+Details!$C$8))</f>
        <v>33.600000000000009</v>
      </c>
      <c r="J73" s="203">
        <f>IF(D73=0," ",(H73)*(Details!$C$6+Details!$C$8))</f>
        <v>102.75000000000001</v>
      </c>
      <c r="K73" s="59">
        <f t="shared" si="14"/>
        <v>981.12</v>
      </c>
      <c r="L73" s="48">
        <f t="shared" si="15"/>
        <v>3000.2999999999997</v>
      </c>
      <c r="M73" s="48">
        <f t="shared" si="16"/>
        <v>147.16800000000003</v>
      </c>
      <c r="N73" s="203">
        <f t="shared" si="17"/>
        <v>450.04500000000007</v>
      </c>
    </row>
    <row r="74" spans="1:14" s="21" customFormat="1" ht="18" x14ac:dyDescent="0.35">
      <c r="A74" s="75"/>
      <c r="B74" s="152"/>
      <c r="C74" s="146"/>
      <c r="D74" s="51"/>
      <c r="E74" s="48"/>
      <c r="F74" s="203"/>
      <c r="G74" s="48"/>
      <c r="H74" s="48"/>
      <c r="I74" s="48"/>
      <c r="J74" s="203"/>
      <c r="K74" s="59"/>
      <c r="L74" s="48"/>
      <c r="M74" s="48"/>
      <c r="N74" s="203"/>
    </row>
    <row r="75" spans="1:14" s="21" customFormat="1" ht="18" x14ac:dyDescent="0.35">
      <c r="A75" s="75">
        <f>IF(F75&lt;&gt;"",(LARGE(A$10:A73,1)+1),"")</f>
        <v>27</v>
      </c>
      <c r="B75" s="152" t="s">
        <v>378</v>
      </c>
      <c r="C75" s="146">
        <v>1.79</v>
      </c>
      <c r="D75" s="51" t="s">
        <v>13</v>
      </c>
      <c r="E75" s="48">
        <f t="shared" si="12"/>
        <v>909</v>
      </c>
      <c r="F75" s="203">
        <f t="shared" si="13"/>
        <v>1627.1100000000001</v>
      </c>
      <c r="G75" s="48">
        <v>224</v>
      </c>
      <c r="H75" s="48">
        <v>685</v>
      </c>
      <c r="I75" s="48">
        <f>IF(D75=0," ",(G75)*(Details!$C$4+Details!$C$8))</f>
        <v>33.600000000000009</v>
      </c>
      <c r="J75" s="203">
        <f>IF(D75=0," ",(H75)*(Details!$C$6+Details!$C$8))</f>
        <v>102.75000000000001</v>
      </c>
      <c r="K75" s="59">
        <f t="shared" si="14"/>
        <v>400.96000000000004</v>
      </c>
      <c r="L75" s="48">
        <f t="shared" si="15"/>
        <v>1226.1500000000001</v>
      </c>
      <c r="M75" s="48">
        <f t="shared" si="16"/>
        <v>60.14400000000002</v>
      </c>
      <c r="N75" s="203">
        <f t="shared" si="17"/>
        <v>183.92250000000004</v>
      </c>
    </row>
    <row r="76" spans="1:14" s="21" customFormat="1" ht="18" x14ac:dyDescent="0.35">
      <c r="A76" s="75"/>
      <c r="B76" s="152"/>
      <c r="C76" s="146"/>
      <c r="D76" s="51"/>
      <c r="E76" s="48"/>
      <c r="F76" s="203"/>
      <c r="G76" s="48"/>
      <c r="H76" s="48"/>
      <c r="I76" s="48"/>
      <c r="J76" s="203"/>
      <c r="K76" s="59"/>
      <c r="L76" s="48"/>
      <c r="M76" s="48"/>
      <c r="N76" s="203"/>
    </row>
    <row r="77" spans="1:14" s="21" customFormat="1" ht="18" x14ac:dyDescent="0.35">
      <c r="A77" s="75">
        <f>IF(F77&lt;&gt;"",(LARGE(A$10:A75,1)+1),"")</f>
        <v>28</v>
      </c>
      <c r="B77" s="152" t="s">
        <v>379</v>
      </c>
      <c r="C77" s="146">
        <v>6.57</v>
      </c>
      <c r="D77" s="51" t="s">
        <v>13</v>
      </c>
      <c r="E77" s="48">
        <f t="shared" si="12"/>
        <v>180.4</v>
      </c>
      <c r="F77" s="203">
        <f t="shared" si="13"/>
        <v>1185.2280000000001</v>
      </c>
      <c r="G77" s="48">
        <v>72.400000000000006</v>
      </c>
      <c r="H77" s="48">
        <v>108</v>
      </c>
      <c r="I77" s="48">
        <f>IF(D77=0," ",(G77)*(Details!$C$4+Details!$C$8))</f>
        <v>10.860000000000003</v>
      </c>
      <c r="J77" s="203">
        <f>IF(D77=0," ",(H77)*(Details!$C$6+Details!$C$8))</f>
        <v>16.200000000000003</v>
      </c>
      <c r="K77" s="59">
        <f t="shared" si="14"/>
        <v>475.66800000000006</v>
      </c>
      <c r="L77" s="48">
        <f t="shared" si="15"/>
        <v>709.56000000000006</v>
      </c>
      <c r="M77" s="48">
        <f t="shared" si="16"/>
        <v>71.350200000000029</v>
      </c>
      <c r="N77" s="203">
        <f t="shared" si="17"/>
        <v>106.43400000000003</v>
      </c>
    </row>
    <row r="78" spans="1:14" s="21" customFormat="1" ht="18" x14ac:dyDescent="0.35">
      <c r="A78" s="75"/>
      <c r="B78" s="152"/>
      <c r="C78" s="146"/>
      <c r="D78" s="51"/>
      <c r="E78" s="48"/>
      <c r="F78" s="203"/>
      <c r="G78" s="48"/>
      <c r="H78" s="48"/>
      <c r="I78" s="48"/>
      <c r="J78" s="203"/>
      <c r="K78" s="59"/>
      <c r="L78" s="48"/>
      <c r="M78" s="48"/>
      <c r="N78" s="203"/>
    </row>
    <row r="79" spans="1:14" s="21" customFormat="1" ht="18" x14ac:dyDescent="0.35">
      <c r="A79" s="75">
        <f>IF(F79&lt;&gt;"",(LARGE(A$10:A77,1)+1),"")</f>
        <v>29</v>
      </c>
      <c r="B79" s="152" t="s">
        <v>380</v>
      </c>
      <c r="C79" s="146">
        <v>2.5499999999999998</v>
      </c>
      <c r="D79" s="51" t="s">
        <v>13</v>
      </c>
      <c r="E79" s="48">
        <f t="shared" si="12"/>
        <v>218.5</v>
      </c>
      <c r="F79" s="203">
        <f t="shared" si="13"/>
        <v>557.17499999999995</v>
      </c>
      <c r="G79" s="48">
        <v>86.5</v>
      </c>
      <c r="H79" s="48">
        <v>132</v>
      </c>
      <c r="I79" s="48">
        <f>IF(D79=0," ",(G79)*(Details!$C$4+Details!$C$8))</f>
        <v>12.975000000000001</v>
      </c>
      <c r="J79" s="203">
        <f>IF(D79=0," ",(H79)*(Details!$C$6+Details!$C$8))</f>
        <v>19.800000000000004</v>
      </c>
      <c r="K79" s="59">
        <f t="shared" si="14"/>
        <v>220.57499999999999</v>
      </c>
      <c r="L79" s="48">
        <f t="shared" si="15"/>
        <v>336.59999999999997</v>
      </c>
      <c r="M79" s="48">
        <f t="shared" si="16"/>
        <v>33.08625</v>
      </c>
      <c r="N79" s="203">
        <f t="shared" si="17"/>
        <v>50.490000000000009</v>
      </c>
    </row>
    <row r="80" spans="1:14" s="21" customFormat="1" ht="18" x14ac:dyDescent="0.35">
      <c r="A80" s="75"/>
      <c r="B80" s="152"/>
      <c r="C80" s="146"/>
      <c r="D80" s="51"/>
      <c r="E80" s="48"/>
      <c r="F80" s="203"/>
      <c r="G80" s="48"/>
      <c r="H80" s="48"/>
      <c r="I80" s="48"/>
      <c r="J80" s="203"/>
      <c r="K80" s="59"/>
      <c r="L80" s="48"/>
      <c r="M80" s="48"/>
      <c r="N80" s="203"/>
    </row>
    <row r="81" spans="1:14" s="21" customFormat="1" ht="18" x14ac:dyDescent="0.35">
      <c r="A81" s="75">
        <f>IF(F81&lt;&gt;"",(LARGE(A$10:A79,1)+1),"")</f>
        <v>30</v>
      </c>
      <c r="B81" s="152" t="s">
        <v>381</v>
      </c>
      <c r="C81" s="146">
        <v>6.46</v>
      </c>
      <c r="D81" s="51" t="s">
        <v>13</v>
      </c>
      <c r="E81" s="48">
        <f t="shared" si="12"/>
        <v>218.5</v>
      </c>
      <c r="F81" s="203">
        <f t="shared" si="13"/>
        <v>1411.51</v>
      </c>
      <c r="G81" s="48">
        <v>86.5</v>
      </c>
      <c r="H81" s="48">
        <v>132</v>
      </c>
      <c r="I81" s="48">
        <f>IF(D81=0," ",(G81)*(Details!$C$4+Details!$C$8))</f>
        <v>12.975000000000001</v>
      </c>
      <c r="J81" s="203">
        <f>IF(D81=0," ",(H81)*(Details!$C$6+Details!$C$8))</f>
        <v>19.800000000000004</v>
      </c>
      <c r="K81" s="59">
        <f t="shared" si="14"/>
        <v>558.79</v>
      </c>
      <c r="L81" s="48">
        <f t="shared" si="15"/>
        <v>852.72</v>
      </c>
      <c r="M81" s="48">
        <f t="shared" si="16"/>
        <v>83.818500000000014</v>
      </c>
      <c r="N81" s="203">
        <f t="shared" si="17"/>
        <v>127.90800000000003</v>
      </c>
    </row>
    <row r="82" spans="1:14" s="21" customFormat="1" ht="18" x14ac:dyDescent="0.35">
      <c r="A82" s="75"/>
      <c r="B82" s="152"/>
      <c r="C82" s="146"/>
      <c r="D82" s="51"/>
      <c r="E82" s="48"/>
      <c r="F82" s="203"/>
      <c r="G82" s="48"/>
      <c r="H82" s="48"/>
      <c r="I82" s="48"/>
      <c r="J82" s="203"/>
      <c r="K82" s="59"/>
      <c r="L82" s="48"/>
      <c r="M82" s="48"/>
      <c r="N82" s="203"/>
    </row>
    <row r="83" spans="1:14" s="21" customFormat="1" ht="18" x14ac:dyDescent="0.35">
      <c r="A83" s="75">
        <f>IF(F83&lt;&gt;"",(LARGE(A$10:A81,1)+1),"")</f>
        <v>31</v>
      </c>
      <c r="B83" s="152" t="s">
        <v>382</v>
      </c>
      <c r="C83" s="146">
        <v>0.81</v>
      </c>
      <c r="D83" s="51" t="s">
        <v>13</v>
      </c>
      <c r="E83" s="48">
        <f t="shared" si="12"/>
        <v>909</v>
      </c>
      <c r="F83" s="203">
        <f t="shared" si="13"/>
        <v>736.29000000000008</v>
      </c>
      <c r="G83" s="48">
        <v>224</v>
      </c>
      <c r="H83" s="48">
        <v>685</v>
      </c>
      <c r="I83" s="48">
        <f>IF(D83=0," ",(G83)*(Details!$C$4+Details!$C$8))</f>
        <v>33.600000000000009</v>
      </c>
      <c r="J83" s="203">
        <f>IF(D83=0," ",(H83)*(Details!$C$6+Details!$C$8))</f>
        <v>102.75000000000001</v>
      </c>
      <c r="K83" s="59">
        <f t="shared" si="14"/>
        <v>181.44</v>
      </c>
      <c r="L83" s="48">
        <f t="shared" si="15"/>
        <v>554.85</v>
      </c>
      <c r="M83" s="48">
        <f t="shared" si="16"/>
        <v>27.216000000000008</v>
      </c>
      <c r="N83" s="203">
        <f t="shared" si="17"/>
        <v>83.22750000000002</v>
      </c>
    </row>
    <row r="84" spans="1:14" s="21" customFormat="1" ht="18" x14ac:dyDescent="0.35">
      <c r="A84" s="75"/>
      <c r="B84" s="152"/>
      <c r="C84" s="146"/>
      <c r="D84" s="51"/>
      <c r="E84" s="48"/>
      <c r="F84" s="203"/>
      <c r="G84" s="48"/>
      <c r="H84" s="48"/>
      <c r="I84" s="48"/>
      <c r="J84" s="203"/>
      <c r="K84" s="59"/>
      <c r="L84" s="48"/>
      <c r="M84" s="48"/>
      <c r="N84" s="203"/>
    </row>
    <row r="85" spans="1:14" s="21" customFormat="1" ht="18" x14ac:dyDescent="0.35">
      <c r="A85" s="75">
        <f>IF(F85&lt;&gt;"",(LARGE(A$10:A83,1)+1),"")</f>
        <v>32</v>
      </c>
      <c r="B85" s="152" t="s">
        <v>383</v>
      </c>
      <c r="C85" s="146">
        <v>5.62</v>
      </c>
      <c r="D85" s="51" t="s">
        <v>13</v>
      </c>
      <c r="E85" s="48">
        <f t="shared" si="12"/>
        <v>550</v>
      </c>
      <c r="F85" s="203">
        <f t="shared" si="13"/>
        <v>3091</v>
      </c>
      <c r="G85" s="48">
        <v>132</v>
      </c>
      <c r="H85" s="48">
        <v>418</v>
      </c>
      <c r="I85" s="48">
        <f>IF(D85=0," ",(G85)*(Details!$C$4+Details!$C$8))</f>
        <v>19.800000000000004</v>
      </c>
      <c r="J85" s="203">
        <f>IF(D85=0," ",(H85)*(Details!$C$6+Details!$C$8))</f>
        <v>62.70000000000001</v>
      </c>
      <c r="K85" s="59">
        <f t="shared" si="14"/>
        <v>741.84</v>
      </c>
      <c r="L85" s="48">
        <f t="shared" si="15"/>
        <v>2349.16</v>
      </c>
      <c r="M85" s="48">
        <f t="shared" si="16"/>
        <v>111.27600000000002</v>
      </c>
      <c r="N85" s="203">
        <f t="shared" si="17"/>
        <v>352.37400000000008</v>
      </c>
    </row>
    <row r="86" spans="1:14" s="21" customFormat="1" ht="18" x14ac:dyDescent="0.35">
      <c r="A86" s="75"/>
      <c r="B86" s="152"/>
      <c r="C86" s="146"/>
      <c r="D86" s="51"/>
      <c r="E86" s="48"/>
      <c r="F86" s="203"/>
      <c r="G86" s="48"/>
      <c r="H86" s="48"/>
      <c r="I86" s="48"/>
      <c r="J86" s="203"/>
      <c r="K86" s="59"/>
      <c r="L86" s="48"/>
      <c r="M86" s="48"/>
      <c r="N86" s="203"/>
    </row>
    <row r="87" spans="1:14" s="21" customFormat="1" ht="18" x14ac:dyDescent="0.35">
      <c r="A87" s="75">
        <f>IF(F87&lt;&gt;"",(LARGE(A$10:A85,1)+1),"")</f>
        <v>33</v>
      </c>
      <c r="B87" s="152" t="s">
        <v>384</v>
      </c>
      <c r="C87" s="146">
        <v>1.1000000000000001</v>
      </c>
      <c r="D87" s="51" t="s">
        <v>13</v>
      </c>
      <c r="E87" s="48">
        <f t="shared" si="12"/>
        <v>501</v>
      </c>
      <c r="F87" s="203">
        <f t="shared" si="13"/>
        <v>551.1</v>
      </c>
      <c r="G87" s="48">
        <v>167</v>
      </c>
      <c r="H87" s="48">
        <v>334</v>
      </c>
      <c r="I87" s="48">
        <f>IF(D87=0," ",(G87)*(Details!$C$4+Details!$C$8))</f>
        <v>25.050000000000004</v>
      </c>
      <c r="J87" s="203">
        <f>IF(D87=0," ",(H87)*(Details!$C$6+Details!$C$8))</f>
        <v>50.100000000000009</v>
      </c>
      <c r="K87" s="59">
        <f t="shared" si="14"/>
        <v>183.70000000000002</v>
      </c>
      <c r="L87" s="48">
        <f t="shared" si="15"/>
        <v>367.40000000000003</v>
      </c>
      <c r="M87" s="48">
        <f t="shared" si="16"/>
        <v>27.555000000000007</v>
      </c>
      <c r="N87" s="203">
        <f t="shared" si="17"/>
        <v>55.110000000000014</v>
      </c>
    </row>
    <row r="88" spans="1:14" s="21" customFormat="1" ht="18" x14ac:dyDescent="0.35">
      <c r="A88" s="75"/>
      <c r="B88" s="152"/>
      <c r="C88" s="146"/>
      <c r="D88" s="51"/>
      <c r="E88" s="48"/>
      <c r="F88" s="203"/>
      <c r="G88" s="48"/>
      <c r="H88" s="48"/>
      <c r="I88" s="48"/>
      <c r="J88" s="203"/>
      <c r="K88" s="59"/>
      <c r="L88" s="48"/>
      <c r="M88" s="48"/>
      <c r="N88" s="203"/>
    </row>
    <row r="89" spans="1:14" s="21" customFormat="1" ht="18" x14ac:dyDescent="0.35">
      <c r="A89" s="75">
        <f>IF(F89&lt;&gt;"",(LARGE(A$10:A87,1)+1),"")</f>
        <v>34</v>
      </c>
      <c r="B89" s="152" t="s">
        <v>385</v>
      </c>
      <c r="C89" s="146">
        <v>1.01</v>
      </c>
      <c r="D89" s="51" t="s">
        <v>13</v>
      </c>
      <c r="E89" s="48">
        <f t="shared" si="12"/>
        <v>570</v>
      </c>
      <c r="F89" s="203">
        <f t="shared" si="13"/>
        <v>575.70000000000005</v>
      </c>
      <c r="G89" s="48">
        <v>198</v>
      </c>
      <c r="H89" s="48">
        <v>372</v>
      </c>
      <c r="I89" s="48">
        <f>IF(D89=0," ",(G89)*(Details!$C$4+Details!$C$8))</f>
        <v>29.700000000000003</v>
      </c>
      <c r="J89" s="203">
        <f>IF(D89=0," ",(H89)*(Details!$C$6+Details!$C$8))</f>
        <v>55.800000000000011</v>
      </c>
      <c r="K89" s="59">
        <f t="shared" si="14"/>
        <v>199.98</v>
      </c>
      <c r="L89" s="48">
        <f t="shared" si="15"/>
        <v>375.72</v>
      </c>
      <c r="M89" s="48">
        <f t="shared" si="16"/>
        <v>29.997000000000003</v>
      </c>
      <c r="N89" s="203">
        <f t="shared" si="17"/>
        <v>56.358000000000011</v>
      </c>
    </row>
    <row r="90" spans="1:14" s="21" customFormat="1" ht="18" x14ac:dyDescent="0.35">
      <c r="A90" s="75"/>
      <c r="B90" s="152"/>
      <c r="C90" s="146"/>
      <c r="D90" s="51"/>
      <c r="E90" s="48"/>
      <c r="F90" s="203"/>
      <c r="G90" s="48"/>
      <c r="H90" s="48"/>
      <c r="I90" s="48"/>
      <c r="J90" s="203"/>
      <c r="K90" s="59"/>
      <c r="L90" s="48"/>
      <c r="M90" s="48"/>
      <c r="N90" s="203"/>
    </row>
    <row r="91" spans="1:14" s="21" customFormat="1" ht="18" x14ac:dyDescent="0.35">
      <c r="A91" s="75">
        <f>IF(F91&lt;&gt;"",(LARGE(A$10:A89,1)+1),"")</f>
        <v>35</v>
      </c>
      <c r="B91" s="152" t="s">
        <v>386</v>
      </c>
      <c r="C91" s="146">
        <v>1.42</v>
      </c>
      <c r="D91" s="51" t="s">
        <v>13</v>
      </c>
      <c r="E91" s="48">
        <f t="shared" si="12"/>
        <v>662</v>
      </c>
      <c r="F91" s="203">
        <f t="shared" si="13"/>
        <v>940.04</v>
      </c>
      <c r="G91" s="48">
        <v>224</v>
      </c>
      <c r="H91" s="48">
        <v>438</v>
      </c>
      <c r="I91" s="48">
        <f>IF(D91=0," ",(G91)*(Details!$C$4+Details!$C$8))</f>
        <v>33.600000000000009</v>
      </c>
      <c r="J91" s="203">
        <f>IF(D91=0," ",(H91)*(Details!$C$6+Details!$C$8))</f>
        <v>65.7</v>
      </c>
      <c r="K91" s="59">
        <f t="shared" si="14"/>
        <v>318.08</v>
      </c>
      <c r="L91" s="48">
        <f t="shared" si="15"/>
        <v>621.95999999999992</v>
      </c>
      <c r="M91" s="48">
        <f t="shared" si="16"/>
        <v>47.71200000000001</v>
      </c>
      <c r="N91" s="203">
        <f t="shared" si="17"/>
        <v>93.293999999999997</v>
      </c>
    </row>
    <row r="92" spans="1:14" s="21" customFormat="1" ht="18" x14ac:dyDescent="0.35">
      <c r="A92" s="75"/>
      <c r="B92" s="152"/>
      <c r="C92" s="146"/>
      <c r="D92" s="51"/>
      <c r="E92" s="48"/>
      <c r="F92" s="203"/>
      <c r="G92" s="48"/>
      <c r="H92" s="48"/>
      <c r="I92" s="48"/>
      <c r="J92" s="203"/>
      <c r="K92" s="59"/>
      <c r="L92" s="48"/>
      <c r="M92" s="48"/>
      <c r="N92" s="203"/>
    </row>
    <row r="93" spans="1:14" s="21" customFormat="1" ht="18" x14ac:dyDescent="0.35">
      <c r="A93" s="75">
        <f>IF(F93&lt;&gt;"",(LARGE(A$10:A91,1)+1),"")</f>
        <v>36</v>
      </c>
      <c r="B93" s="152" t="s">
        <v>387</v>
      </c>
      <c r="C93" s="146">
        <v>1.92</v>
      </c>
      <c r="D93" s="51" t="s">
        <v>13</v>
      </c>
      <c r="E93" s="48">
        <f t="shared" si="12"/>
        <v>784</v>
      </c>
      <c r="F93" s="203">
        <f t="shared" si="13"/>
        <v>1505.28</v>
      </c>
      <c r="G93" s="48">
        <v>256</v>
      </c>
      <c r="H93" s="48">
        <v>528</v>
      </c>
      <c r="I93" s="48">
        <f>IF(D93=0," ",(G93)*(Details!$C$4+Details!$C$8))</f>
        <v>38.400000000000006</v>
      </c>
      <c r="J93" s="203">
        <f>IF(D93=0," ",(H93)*(Details!$C$6+Details!$C$8))</f>
        <v>79.200000000000017</v>
      </c>
      <c r="K93" s="59">
        <f t="shared" si="14"/>
        <v>491.52</v>
      </c>
      <c r="L93" s="48">
        <f t="shared" si="15"/>
        <v>1013.76</v>
      </c>
      <c r="M93" s="48">
        <f t="shared" si="16"/>
        <v>73.728000000000009</v>
      </c>
      <c r="N93" s="203">
        <f t="shared" si="17"/>
        <v>152.06400000000002</v>
      </c>
    </row>
    <row r="94" spans="1:14" s="21" customFormat="1" ht="18" x14ac:dyDescent="0.35">
      <c r="A94" s="75"/>
      <c r="B94" s="152"/>
      <c r="C94" s="146"/>
      <c r="D94" s="51"/>
      <c r="E94" s="48"/>
      <c r="F94" s="203"/>
      <c r="G94" s="48"/>
      <c r="H94" s="48"/>
      <c r="I94" s="48"/>
      <c r="J94" s="203"/>
      <c r="K94" s="59"/>
      <c r="L94" s="48"/>
      <c r="M94" s="48"/>
      <c r="N94" s="203"/>
    </row>
    <row r="95" spans="1:14" s="21" customFormat="1" ht="18" x14ac:dyDescent="0.35">
      <c r="A95" s="75">
        <f>IF(F95&lt;&gt;"",(LARGE(A$10:A93,1)+1),"")</f>
        <v>37</v>
      </c>
      <c r="B95" s="152" t="s">
        <v>388</v>
      </c>
      <c r="C95" s="146">
        <v>1.23</v>
      </c>
      <c r="D95" s="51" t="s">
        <v>13</v>
      </c>
      <c r="E95" s="48">
        <f>G95+H95</f>
        <v>511</v>
      </c>
      <c r="F95" s="203">
        <f t="shared" si="13"/>
        <v>628.53</v>
      </c>
      <c r="G95" s="48">
        <v>187</v>
      </c>
      <c r="H95" s="48">
        <v>324</v>
      </c>
      <c r="I95" s="48">
        <f>IF(D95=0," ",(G95)*(Details!$C$4+Details!$C$8))</f>
        <v>28.050000000000004</v>
      </c>
      <c r="J95" s="203">
        <f>IF(D95=0," ",(H95)*(Details!$C$6+Details!$C$8))</f>
        <v>48.600000000000009</v>
      </c>
      <c r="K95" s="59">
        <f t="shared" si="14"/>
        <v>230.01</v>
      </c>
      <c r="L95" s="48">
        <f t="shared" si="15"/>
        <v>398.52</v>
      </c>
      <c r="M95" s="48">
        <f t="shared" si="16"/>
        <v>34.501500000000007</v>
      </c>
      <c r="N95" s="203">
        <f t="shared" si="17"/>
        <v>59.778000000000013</v>
      </c>
    </row>
    <row r="96" spans="1:14" s="21" customFormat="1" ht="18" x14ac:dyDescent="0.35">
      <c r="A96" s="75" t="str">
        <f>IF(F96&lt;&gt;"",(LARGE(A$10:A95,1)+1),"")</f>
        <v/>
      </c>
      <c r="B96" s="152"/>
      <c r="C96" s="146"/>
      <c r="D96" s="51"/>
      <c r="E96" s="48"/>
      <c r="F96" s="203"/>
      <c r="G96" s="48"/>
      <c r="H96" s="48"/>
      <c r="I96" s="48"/>
      <c r="J96" s="203"/>
      <c r="K96" s="59"/>
      <c r="L96" s="48"/>
      <c r="M96" s="48"/>
      <c r="N96" s="203"/>
    </row>
    <row r="97" spans="1:14" s="21" customFormat="1" ht="18" x14ac:dyDescent="0.35">
      <c r="A97" s="75" t="str">
        <f>IF(F97&lt;&gt;"",(LARGE(A$10:A96,1)+1),"")</f>
        <v/>
      </c>
      <c r="B97" s="351" t="s">
        <v>389</v>
      </c>
      <c r="C97" s="146"/>
      <c r="D97" s="51"/>
      <c r="E97" s="48"/>
      <c r="F97" s="203"/>
      <c r="G97" s="48"/>
      <c r="H97" s="48"/>
      <c r="I97" s="48"/>
      <c r="J97" s="203"/>
      <c r="K97" s="59"/>
      <c r="L97" s="48"/>
      <c r="M97" s="48"/>
      <c r="N97" s="203"/>
    </row>
    <row r="98" spans="1:14" s="21" customFormat="1" ht="18" x14ac:dyDescent="0.35">
      <c r="A98" s="75"/>
      <c r="B98" s="351"/>
      <c r="C98" s="146"/>
      <c r="D98" s="51"/>
      <c r="E98" s="48"/>
      <c r="F98" s="203"/>
      <c r="G98" s="48"/>
      <c r="H98" s="48"/>
      <c r="I98" s="48"/>
      <c r="J98" s="203"/>
      <c r="K98" s="59"/>
      <c r="L98" s="48"/>
      <c r="M98" s="48"/>
      <c r="N98" s="203"/>
    </row>
    <row r="99" spans="1:14" s="21" customFormat="1" ht="18" x14ac:dyDescent="0.35">
      <c r="A99" s="75">
        <f>IF(F99&lt;&gt;"",(LARGE(A$10:A97,1)+1),"")</f>
        <v>38</v>
      </c>
      <c r="B99" s="152" t="s">
        <v>390</v>
      </c>
      <c r="C99" s="146">
        <v>1.24</v>
      </c>
      <c r="D99" s="51" t="s">
        <v>13</v>
      </c>
      <c r="E99" s="48">
        <f>G99+H99</f>
        <v>479</v>
      </c>
      <c r="F99" s="203">
        <f t="shared" ref="F99:F103" si="18">E99*C99</f>
        <v>593.96</v>
      </c>
      <c r="G99" s="48">
        <v>155</v>
      </c>
      <c r="H99" s="48">
        <v>324</v>
      </c>
      <c r="I99" s="48">
        <f>IF(D99=0," ",(G99)*(Details!$C$4+Details!$C$8))</f>
        <v>23.250000000000004</v>
      </c>
      <c r="J99" s="203">
        <f>IF(D99=0," ",(H99)*(Details!$C$6+Details!$C$8))</f>
        <v>48.600000000000009</v>
      </c>
      <c r="K99" s="59">
        <f t="shared" ref="K99:K103" si="19">+G99*C99</f>
        <v>192.2</v>
      </c>
      <c r="L99" s="48">
        <f t="shared" ref="L99:L103" si="20">+H99*C99</f>
        <v>401.76</v>
      </c>
      <c r="M99" s="48">
        <f t="shared" ref="M99:M103" si="21">IF(D99=0," ",(I99*C99))</f>
        <v>28.830000000000005</v>
      </c>
      <c r="N99" s="203">
        <f t="shared" ref="N99:N103" si="22">IF(D99=0," ",(J99*C99))</f>
        <v>60.26400000000001</v>
      </c>
    </row>
    <row r="100" spans="1:14" s="21" customFormat="1" ht="18" x14ac:dyDescent="0.35">
      <c r="A100" s="75"/>
      <c r="B100" s="152"/>
      <c r="C100" s="146"/>
      <c r="D100" s="51"/>
      <c r="E100" s="48"/>
      <c r="F100" s="203"/>
      <c r="G100" s="48"/>
      <c r="H100" s="48"/>
      <c r="I100" s="48"/>
      <c r="J100" s="203"/>
      <c r="K100" s="59"/>
      <c r="L100" s="48"/>
      <c r="M100" s="48"/>
      <c r="N100" s="203"/>
    </row>
    <row r="101" spans="1:14" s="21" customFormat="1" ht="18" x14ac:dyDescent="0.35">
      <c r="A101" s="75">
        <f>IF(F101&lt;&gt;"",(LARGE(A$10:A99,1)+1),"")</f>
        <v>39</v>
      </c>
      <c r="B101" s="152" t="s">
        <v>391</v>
      </c>
      <c r="C101" s="146">
        <v>1.24</v>
      </c>
      <c r="D101" s="51" t="s">
        <v>13</v>
      </c>
      <c r="E101" s="48">
        <f t="shared" ref="E101:E103" si="23">G101+H101</f>
        <v>1112</v>
      </c>
      <c r="F101" s="203">
        <f t="shared" si="18"/>
        <v>1378.8799999999999</v>
      </c>
      <c r="G101" s="48">
        <v>324</v>
      </c>
      <c r="H101" s="48">
        <v>788</v>
      </c>
      <c r="I101" s="48">
        <f>IF(D101=0," ",(G101)*(Details!$C$4+Details!$C$8))</f>
        <v>48.600000000000009</v>
      </c>
      <c r="J101" s="203">
        <f>IF(D101=0," ",(H101)*(Details!$C$6+Details!$C$8))</f>
        <v>118.20000000000002</v>
      </c>
      <c r="K101" s="59">
        <f t="shared" si="19"/>
        <v>401.76</v>
      </c>
      <c r="L101" s="48">
        <f t="shared" si="20"/>
        <v>977.12</v>
      </c>
      <c r="M101" s="48">
        <f t="shared" si="21"/>
        <v>60.26400000000001</v>
      </c>
      <c r="N101" s="203">
        <f t="shared" si="22"/>
        <v>146.56800000000001</v>
      </c>
    </row>
    <row r="102" spans="1:14" s="21" customFormat="1" ht="18" x14ac:dyDescent="0.35">
      <c r="A102" s="75"/>
      <c r="B102" s="152"/>
      <c r="C102" s="146"/>
      <c r="D102" s="51"/>
      <c r="E102" s="48"/>
      <c r="F102" s="203"/>
      <c r="G102" s="48"/>
      <c r="H102" s="48"/>
      <c r="I102" s="48"/>
      <c r="J102" s="203"/>
      <c r="K102" s="59"/>
      <c r="L102" s="48"/>
      <c r="M102" s="48"/>
      <c r="N102" s="203"/>
    </row>
    <row r="103" spans="1:14" s="21" customFormat="1" ht="36" x14ac:dyDescent="0.35">
      <c r="A103" s="75">
        <f>IF(F103&lt;&gt;"",(LARGE(A$10:A101,1)+1),"")</f>
        <v>40</v>
      </c>
      <c r="B103" s="152" t="s">
        <v>392</v>
      </c>
      <c r="C103" s="146">
        <v>1</v>
      </c>
      <c r="D103" s="51" t="s">
        <v>263</v>
      </c>
      <c r="E103" s="48">
        <f t="shared" si="23"/>
        <v>1763</v>
      </c>
      <c r="F103" s="203">
        <f t="shared" si="18"/>
        <v>1763</v>
      </c>
      <c r="G103" s="48">
        <v>438</v>
      </c>
      <c r="H103" s="48">
        <v>1325</v>
      </c>
      <c r="I103" s="48">
        <f>IF(D103=0," ",(G103)*(Details!$C$4+Details!$C$8))</f>
        <v>65.7</v>
      </c>
      <c r="J103" s="203">
        <f>IF(D103=0," ",(H103)*(Details!$C$6+Details!$C$8))</f>
        <v>198.75000000000003</v>
      </c>
      <c r="K103" s="59">
        <f t="shared" si="19"/>
        <v>438</v>
      </c>
      <c r="L103" s="48">
        <f t="shared" si="20"/>
        <v>1325</v>
      </c>
      <c r="M103" s="48">
        <f t="shared" si="21"/>
        <v>65.7</v>
      </c>
      <c r="N103" s="203">
        <f t="shared" si="22"/>
        <v>198.75000000000003</v>
      </c>
    </row>
    <row r="104" spans="1:14" s="21" customFormat="1" ht="18" x14ac:dyDescent="0.35">
      <c r="A104" s="75" t="str">
        <f>IF(F104&lt;&gt;"",(LARGE(A$10:A103,1)+1),"")</f>
        <v/>
      </c>
      <c r="B104" s="152"/>
      <c r="C104" s="146"/>
      <c r="D104" s="51"/>
      <c r="E104" s="48"/>
      <c r="F104" s="203"/>
      <c r="G104" s="48"/>
      <c r="H104" s="48"/>
      <c r="I104" s="48"/>
      <c r="J104" s="203"/>
      <c r="K104" s="59"/>
      <c r="L104" s="48"/>
      <c r="M104" s="48"/>
      <c r="N104" s="203"/>
    </row>
    <row r="105" spans="1:14" s="21" customFormat="1" ht="18" x14ac:dyDescent="0.35">
      <c r="A105" s="75" t="str">
        <f>IF(F105&lt;&gt;"",(LARGE(A$10:A104,1)+1),"")</f>
        <v/>
      </c>
      <c r="B105" s="351" t="s">
        <v>393</v>
      </c>
      <c r="C105" s="146"/>
      <c r="D105" s="51"/>
      <c r="E105" s="48"/>
      <c r="F105" s="203"/>
      <c r="G105" s="48"/>
      <c r="H105" s="48"/>
      <c r="I105" s="48"/>
      <c r="J105" s="203"/>
      <c r="K105" s="59"/>
      <c r="L105" s="48"/>
      <c r="M105" s="48"/>
      <c r="N105" s="203"/>
    </row>
    <row r="106" spans="1:14" s="21" customFormat="1" ht="18" x14ac:dyDescent="0.35">
      <c r="A106" s="75"/>
      <c r="B106" s="351"/>
      <c r="C106" s="146"/>
      <c r="D106" s="51"/>
      <c r="E106" s="48"/>
      <c r="F106" s="203"/>
      <c r="G106" s="48"/>
      <c r="H106" s="48"/>
      <c r="I106" s="48"/>
      <c r="J106" s="203"/>
      <c r="K106" s="59"/>
      <c r="L106" s="48"/>
      <c r="M106" s="48"/>
      <c r="N106" s="203"/>
    </row>
    <row r="107" spans="1:14" s="21" customFormat="1" ht="18" x14ac:dyDescent="0.35">
      <c r="A107" s="75">
        <f>IF(F107&lt;&gt;"",(LARGE(A$10:A105,1)+1),"")</f>
        <v>41</v>
      </c>
      <c r="B107" s="152" t="s">
        <v>390</v>
      </c>
      <c r="C107" s="146">
        <v>1.24</v>
      </c>
      <c r="D107" s="51" t="s">
        <v>13</v>
      </c>
      <c r="E107" s="48">
        <f t="shared" ref="E107:E113" si="24">G107+H107</f>
        <v>479</v>
      </c>
      <c r="F107" s="203">
        <f t="shared" ref="F107:F109" si="25">E107*C107</f>
        <v>593.96</v>
      </c>
      <c r="G107" s="48">
        <v>155</v>
      </c>
      <c r="H107" s="48">
        <v>324</v>
      </c>
      <c r="I107" s="48">
        <f>IF(D107=0," ",(G107)*(Details!$C$4+Details!$C$8))</f>
        <v>23.250000000000004</v>
      </c>
      <c r="J107" s="203">
        <f>IF(D107=0," ",(H107)*(Details!$C$6+Details!$C$8))</f>
        <v>48.600000000000009</v>
      </c>
      <c r="K107" s="59">
        <f t="shared" ref="K107:K109" si="26">+G107*C107</f>
        <v>192.2</v>
      </c>
      <c r="L107" s="48">
        <f t="shared" ref="L107:L109" si="27">+H107*C107</f>
        <v>401.76</v>
      </c>
      <c r="M107" s="48">
        <f t="shared" ref="M107:M109" si="28">IF(D107=0," ",(I107*C107))</f>
        <v>28.830000000000005</v>
      </c>
      <c r="N107" s="203">
        <f t="shared" ref="N107:N109" si="29">IF(D107=0," ",(J107*C107))</f>
        <v>60.26400000000001</v>
      </c>
    </row>
    <row r="108" spans="1:14" s="21" customFormat="1" ht="18" x14ac:dyDescent="0.35">
      <c r="A108" s="75"/>
      <c r="B108" s="152"/>
      <c r="C108" s="146"/>
      <c r="D108" s="51"/>
      <c r="E108" s="48"/>
      <c r="F108" s="203"/>
      <c r="G108" s="48"/>
      <c r="H108" s="48"/>
      <c r="I108" s="48"/>
      <c r="J108" s="203"/>
      <c r="K108" s="59"/>
      <c r="L108" s="48"/>
      <c r="M108" s="48"/>
      <c r="N108" s="203"/>
    </row>
    <row r="109" spans="1:14" s="21" customFormat="1" ht="18" x14ac:dyDescent="0.35">
      <c r="A109" s="75">
        <f>IF(F109&lt;&gt;"",(LARGE(A$10:A107,1)+1),"")</f>
        <v>42</v>
      </c>
      <c r="B109" s="152" t="s">
        <v>391</v>
      </c>
      <c r="C109" s="146">
        <v>1.24</v>
      </c>
      <c r="D109" s="51" t="s">
        <v>13</v>
      </c>
      <c r="E109" s="48">
        <f t="shared" si="24"/>
        <v>1112</v>
      </c>
      <c r="F109" s="203">
        <f t="shared" si="25"/>
        <v>1378.8799999999999</v>
      </c>
      <c r="G109" s="48">
        <v>324</v>
      </c>
      <c r="H109" s="48">
        <v>788</v>
      </c>
      <c r="I109" s="48">
        <f>IF(D109=0," ",(G109)*(Details!$C$4+Details!$C$8))</f>
        <v>48.600000000000009</v>
      </c>
      <c r="J109" s="203">
        <f>IF(D109=0," ",(H109)*(Details!$C$6+Details!$C$8))</f>
        <v>118.20000000000002</v>
      </c>
      <c r="K109" s="59">
        <f t="shared" si="26"/>
        <v>401.76</v>
      </c>
      <c r="L109" s="48">
        <f t="shared" si="27"/>
        <v>977.12</v>
      </c>
      <c r="M109" s="48">
        <f t="shared" si="28"/>
        <v>60.26400000000001</v>
      </c>
      <c r="N109" s="203">
        <f t="shared" si="29"/>
        <v>146.56800000000001</v>
      </c>
    </row>
    <row r="110" spans="1:14" s="21" customFormat="1" ht="18" x14ac:dyDescent="0.35">
      <c r="A110" s="75" t="str">
        <f>IF(F110&lt;&gt;"",(LARGE(A$10:A108,1)+1),"")</f>
        <v/>
      </c>
      <c r="B110" s="152"/>
      <c r="C110" s="146"/>
      <c r="D110" s="51"/>
      <c r="E110" s="48"/>
      <c r="F110" s="203"/>
      <c r="G110" s="48"/>
      <c r="H110" s="48"/>
      <c r="I110" s="48"/>
      <c r="J110" s="203"/>
      <c r="K110" s="59"/>
      <c r="L110" s="48"/>
      <c r="M110" s="48"/>
      <c r="N110" s="203"/>
    </row>
    <row r="111" spans="1:14" s="21" customFormat="1" ht="18" x14ac:dyDescent="0.35">
      <c r="A111" s="75">
        <f>IF(F111&lt;&gt;"",(LARGE(A$10:A109,1)+1),"")</f>
        <v>43</v>
      </c>
      <c r="B111" s="152" t="s">
        <v>394</v>
      </c>
      <c r="C111" s="146">
        <v>1</v>
      </c>
      <c r="D111" s="51" t="s">
        <v>263</v>
      </c>
      <c r="E111" s="48">
        <f t="shared" si="24"/>
        <v>1889</v>
      </c>
      <c r="F111" s="203">
        <f t="shared" ref="F111" si="30">E111*C111</f>
        <v>1889</v>
      </c>
      <c r="G111" s="48">
        <v>467</v>
      </c>
      <c r="H111" s="48">
        <v>1422</v>
      </c>
      <c r="I111" s="48">
        <f>IF(D111=0," ",(G111)*(Details!$C$4+Details!$C$8))</f>
        <v>70.050000000000011</v>
      </c>
      <c r="J111" s="203">
        <f>IF(D111=0," ",(H111)*(Details!$C$6+Details!$C$8))</f>
        <v>213.30000000000004</v>
      </c>
      <c r="K111" s="59">
        <f t="shared" ref="K111" si="31">+G111*C111</f>
        <v>467</v>
      </c>
      <c r="L111" s="48">
        <f t="shared" ref="L111" si="32">+H111*C111</f>
        <v>1422</v>
      </c>
      <c r="M111" s="48">
        <f t="shared" ref="M111" si="33">IF(D111=0," ",(I111*C111))</f>
        <v>70.050000000000011</v>
      </c>
      <c r="N111" s="203">
        <f t="shared" ref="N111" si="34">IF(D111=0," ",(J111*C111))</f>
        <v>213.30000000000004</v>
      </c>
    </row>
    <row r="112" spans="1:14" s="21" customFormat="1" ht="18" x14ac:dyDescent="0.35">
      <c r="A112" s="75" t="str">
        <f>IF(F112&lt;&gt;"",(LARGE(A$10:A110,1)+1),"")</f>
        <v/>
      </c>
      <c r="B112" s="152"/>
      <c r="C112" s="146"/>
      <c r="D112" s="51"/>
      <c r="E112" s="48"/>
      <c r="F112" s="203"/>
      <c r="G112" s="48"/>
      <c r="H112" s="48"/>
      <c r="I112" s="48"/>
      <c r="J112" s="203"/>
      <c r="K112" s="59"/>
      <c r="L112" s="48"/>
      <c r="M112" s="48"/>
      <c r="N112" s="203"/>
    </row>
    <row r="113" spans="1:16" s="21" customFormat="1" ht="18" x14ac:dyDescent="0.35">
      <c r="A113" s="75">
        <f>IF(F113&lt;&gt;"",(LARGE(A$10:A111,1)+1),"")</f>
        <v>44</v>
      </c>
      <c r="B113" s="152" t="s">
        <v>395</v>
      </c>
      <c r="C113" s="146">
        <v>2.7</v>
      </c>
      <c r="D113" s="51" t="s">
        <v>13</v>
      </c>
      <c r="E113" s="48">
        <f t="shared" si="24"/>
        <v>479</v>
      </c>
      <c r="F113" s="203">
        <f t="shared" ref="F113" si="35">E113*C113</f>
        <v>1293.3000000000002</v>
      </c>
      <c r="G113" s="48">
        <v>155</v>
      </c>
      <c r="H113" s="48">
        <v>324</v>
      </c>
      <c r="I113" s="48">
        <f>IF(D113=0," ",(G113)*(Details!$C$4+Details!$C$8))</f>
        <v>23.250000000000004</v>
      </c>
      <c r="J113" s="203">
        <f>IF(D113=0," ",(H113)*(Details!$C$6+Details!$C$8))</f>
        <v>48.600000000000009</v>
      </c>
      <c r="K113" s="59">
        <f t="shared" ref="K113" si="36">+G113*C113</f>
        <v>418.5</v>
      </c>
      <c r="L113" s="48">
        <f t="shared" ref="L113" si="37">+H113*C113</f>
        <v>874.80000000000007</v>
      </c>
      <c r="M113" s="48">
        <f t="shared" ref="M113" si="38">IF(D113=0," ",(I113*C113))</f>
        <v>62.775000000000013</v>
      </c>
      <c r="N113" s="203">
        <f t="shared" ref="N113" si="39">IF(D113=0," ",(J113*C113))</f>
        <v>131.22000000000003</v>
      </c>
    </row>
    <row r="114" spans="1:16" s="21" customFormat="1" ht="18" x14ac:dyDescent="0.35">
      <c r="A114" s="75" t="str">
        <f>IF(F114&lt;&gt;"",(LARGE(A$10:A112,1)+1),"")</f>
        <v/>
      </c>
      <c r="B114" s="152"/>
      <c r="C114" s="146"/>
      <c r="D114" s="51"/>
      <c r="E114" s="48"/>
      <c r="F114" s="203"/>
      <c r="G114" s="48"/>
      <c r="H114" s="48"/>
      <c r="I114" s="48"/>
      <c r="J114" s="203"/>
      <c r="K114" s="59"/>
      <c r="L114" s="48"/>
      <c r="M114" s="48"/>
      <c r="N114" s="203"/>
    </row>
    <row r="115" spans="1:16" s="21" customFormat="1" ht="18" x14ac:dyDescent="0.35">
      <c r="A115" s="75" t="str">
        <f>IF(F115&lt;&gt;"",(LARGE(A$10:A113,1)+1),"")</f>
        <v/>
      </c>
      <c r="B115" s="168" t="s">
        <v>461</v>
      </c>
      <c r="C115" s="146"/>
      <c r="D115" s="51"/>
      <c r="E115" s="48"/>
      <c r="F115" s="203"/>
      <c r="G115" s="48"/>
      <c r="H115" s="48"/>
      <c r="I115" s="48"/>
      <c r="J115" s="203"/>
      <c r="K115" s="59"/>
      <c r="L115" s="48"/>
      <c r="M115" s="48"/>
      <c r="N115" s="203"/>
    </row>
    <row r="116" spans="1:16" s="21" customFormat="1" ht="18" x14ac:dyDescent="0.35">
      <c r="A116" s="75" t="str">
        <f>IF(F116&lt;&gt;"",(LARGE(A$10:A114,1)+1),"")</f>
        <v/>
      </c>
      <c r="B116" s="152"/>
      <c r="C116" s="146"/>
      <c r="D116" s="51"/>
      <c r="E116" s="48"/>
      <c r="F116" s="203"/>
      <c r="G116" s="48"/>
      <c r="H116" s="48"/>
      <c r="I116" s="48"/>
      <c r="J116" s="203"/>
      <c r="K116" s="59"/>
      <c r="L116" s="48"/>
      <c r="M116" s="48"/>
      <c r="N116" s="203"/>
    </row>
    <row r="117" spans="1:16" s="21" customFormat="1" ht="18" x14ac:dyDescent="0.35">
      <c r="A117" s="75">
        <f>IF(F117&lt;&gt;"",(LARGE(A$10:A115,1)+1),"")</f>
        <v>45</v>
      </c>
      <c r="B117" s="152" t="s">
        <v>459</v>
      </c>
      <c r="C117" s="146">
        <v>11</v>
      </c>
      <c r="D117" s="51" t="s">
        <v>10</v>
      </c>
      <c r="E117" s="48">
        <f t="shared" ref="E117:E119" si="40">G117+H117</f>
        <v>133.30000000000001</v>
      </c>
      <c r="F117" s="203">
        <f t="shared" ref="F117:F119" si="41">E117*C117</f>
        <v>1466.3000000000002</v>
      </c>
      <c r="G117" s="48">
        <v>45.5</v>
      </c>
      <c r="H117" s="48">
        <v>87.8</v>
      </c>
      <c r="I117" s="48">
        <f>IF(D117=0," ",(G117)*(Details!$C$4+Details!$C$8))</f>
        <v>6.8250000000000011</v>
      </c>
      <c r="J117" s="203">
        <f>IF(D117=0," ",(H117)*(Details!$C$6+Details!$C$8))</f>
        <v>13.170000000000002</v>
      </c>
      <c r="K117" s="59">
        <f t="shared" ref="K117:K119" si="42">+G117*C117</f>
        <v>500.5</v>
      </c>
      <c r="L117" s="48">
        <f t="shared" ref="L117:L119" si="43">+H117*C117</f>
        <v>965.8</v>
      </c>
      <c r="M117" s="48">
        <f t="shared" ref="M117:M119" si="44">IF(D117=0," ",(I117*C117))</f>
        <v>75.075000000000017</v>
      </c>
      <c r="N117" s="203">
        <f t="shared" ref="N117:N119" si="45">IF(D117=0," ",(J117*C117))</f>
        <v>144.87</v>
      </c>
    </row>
    <row r="118" spans="1:16" s="21" customFormat="1" ht="18" x14ac:dyDescent="0.35">
      <c r="A118" s="75"/>
      <c r="B118" s="152"/>
      <c r="C118" s="146"/>
      <c r="D118" s="51"/>
      <c r="E118" s="48"/>
      <c r="F118" s="203"/>
      <c r="G118" s="48"/>
      <c r="H118" s="48"/>
      <c r="I118" s="48"/>
      <c r="J118" s="203"/>
      <c r="K118" s="59"/>
      <c r="L118" s="48"/>
      <c r="M118" s="48"/>
      <c r="N118" s="203"/>
    </row>
    <row r="119" spans="1:16" s="21" customFormat="1" ht="18" x14ac:dyDescent="0.35">
      <c r="A119" s="75">
        <v>46</v>
      </c>
      <c r="B119" s="152" t="s">
        <v>460</v>
      </c>
      <c r="C119" s="146">
        <v>1</v>
      </c>
      <c r="D119" s="51" t="s">
        <v>263</v>
      </c>
      <c r="E119" s="48">
        <f t="shared" si="40"/>
        <v>1170</v>
      </c>
      <c r="F119" s="203">
        <f t="shared" si="41"/>
        <v>1170</v>
      </c>
      <c r="G119" s="48">
        <v>200</v>
      </c>
      <c r="H119" s="48">
        <v>970</v>
      </c>
      <c r="I119" s="48">
        <f>IF(D119=0," ",(G119)*(Details!$C$4+Details!$C$8))</f>
        <v>30.000000000000004</v>
      </c>
      <c r="J119" s="203">
        <f>IF(D119=0," ",(H119)*(Details!$C$6+Details!$C$8))</f>
        <v>145.50000000000003</v>
      </c>
      <c r="K119" s="59">
        <f t="shared" si="42"/>
        <v>200</v>
      </c>
      <c r="L119" s="48">
        <f t="shared" si="43"/>
        <v>970</v>
      </c>
      <c r="M119" s="48">
        <f t="shared" si="44"/>
        <v>30.000000000000004</v>
      </c>
      <c r="N119" s="203">
        <f t="shared" si="45"/>
        <v>145.50000000000003</v>
      </c>
    </row>
    <row r="120" spans="1:16" s="21" customFormat="1" ht="18" x14ac:dyDescent="0.35">
      <c r="A120" s="75" t="str">
        <f>IF(F120&lt;&gt;"",(LARGE(A$10:A117,1)+1),"")</f>
        <v/>
      </c>
      <c r="B120" s="153"/>
      <c r="C120" s="154"/>
      <c r="D120" s="51"/>
      <c r="E120" s="48"/>
      <c r="F120" s="203"/>
      <c r="G120" s="59"/>
      <c r="H120" s="48"/>
      <c r="I120" s="48"/>
      <c r="J120" s="203"/>
      <c r="K120" s="218"/>
      <c r="L120" s="20"/>
      <c r="M120" s="20"/>
      <c r="N120" s="203"/>
      <c r="P120" s="72"/>
    </row>
    <row r="121" spans="1:16" s="21" customFormat="1" ht="18.600000000000001" thickBot="1" x14ac:dyDescent="0.4">
      <c r="A121" s="75"/>
      <c r="B121" s="156"/>
      <c r="C121" s="146"/>
      <c r="D121" s="60"/>
      <c r="E121" s="62" t="s">
        <v>115</v>
      </c>
      <c r="F121" s="204">
        <f>SUM(F1:F119)</f>
        <v>50949.342999999993</v>
      </c>
      <c r="G121" s="59"/>
      <c r="H121" s="48"/>
      <c r="I121" s="48"/>
      <c r="J121" s="203" t="str">
        <f>IF(D121=0," ",(G121+H121)*(Details!$C$4+Details!$C$6))</f>
        <v xml:space="preserve"> </v>
      </c>
      <c r="K121" s="252">
        <f>SUM(K4:K58)</f>
        <v>5084.6000000000004</v>
      </c>
      <c r="L121" s="253">
        <f>SUM(L4:L119)</f>
        <v>35680.680000000008</v>
      </c>
      <c r="M121" s="253">
        <f>SUM(M4:M119)</f>
        <v>2290.2994500000009</v>
      </c>
      <c r="N121" s="204">
        <f>SUM(N4:N119)</f>
        <v>5352.1020000000026</v>
      </c>
      <c r="O121" s="55"/>
      <c r="P121" s="72">
        <f>+F121-K121-L121-N121-M121</f>
        <v>2541.6615499999839</v>
      </c>
    </row>
    <row r="122" spans="1:16" s="21" customFormat="1" ht="19.2" thickTop="1" thickBot="1" x14ac:dyDescent="0.4">
      <c r="A122" s="165" t="str">
        <f>IF(F122&lt;&gt;"",(LARGE(A$7:A121,1)+1),"")</f>
        <v/>
      </c>
      <c r="B122" s="158"/>
      <c r="C122" s="159"/>
      <c r="D122" s="63"/>
      <c r="E122" s="65"/>
      <c r="F122" s="67"/>
      <c r="G122" s="66"/>
      <c r="H122" s="65"/>
      <c r="I122" s="65"/>
      <c r="J122" s="67" t="str">
        <f>IF(D122=0," ",(G122+H122)*(Details!$C$4+Details!$C$6))</f>
        <v xml:space="preserve"> </v>
      </c>
      <c r="K122" s="231"/>
      <c r="L122" s="231"/>
      <c r="M122" s="231"/>
      <c r="N122" s="191"/>
      <c r="O122" s="55"/>
    </row>
    <row r="123" spans="1:16" x14ac:dyDescent="0.3">
      <c r="J123" s="16"/>
    </row>
    <row r="124" spans="1:16" x14ac:dyDescent="0.3">
      <c r="J124" s="16"/>
    </row>
  </sheetData>
  <mergeCells count="2">
    <mergeCell ref="G5:J5"/>
    <mergeCell ref="K5:N5"/>
  </mergeCells>
  <conditionalFormatting sqref="G8:G10517">
    <cfRule type="notContainsBlanks" dxfId="65" priority="1">
      <formula>LEN(TRIM(G8))&gt;0</formula>
    </cfRule>
  </conditionalFormatting>
  <conditionalFormatting sqref="H11 H13 H15 H17 H19 H23 H25 H27 H29 H31 H33 H37 H39 H41 H43 H45 H47:H54">
    <cfRule type="notContainsBlanks" dxfId="64" priority="6">
      <formula>LEN(TRIM(H11))&gt;0</formula>
    </cfRule>
  </conditionalFormatting>
  <conditionalFormatting sqref="H59:H95">
    <cfRule type="notContainsBlanks" dxfId="63" priority="26">
      <formula>LEN(TRIM(H59))&gt;0</formula>
    </cfRule>
  </conditionalFormatting>
  <conditionalFormatting sqref="H99:H103">
    <cfRule type="notContainsBlanks" dxfId="62" priority="20">
      <formula>LEN(TRIM(H99))&gt;0</formula>
    </cfRule>
  </conditionalFormatting>
  <conditionalFormatting sqref="H107:H119">
    <cfRule type="notContainsBlanks" dxfId="61" priority="12">
      <formula>LEN(TRIM(H107))&gt;0</formula>
    </cfRule>
  </conditionalFormatting>
  <conditionalFormatting sqref="H8:I10 I49 I51 I53">
    <cfRule type="notContainsBlanks" dxfId="60" priority="114">
      <formula>LEN(TRIM(H8))&gt;0</formula>
    </cfRule>
  </conditionalFormatting>
  <conditionalFormatting sqref="H12:I12">
    <cfRule type="notContainsBlanks" dxfId="59" priority="78">
      <formula>LEN(TRIM(H12))&gt;0</formula>
    </cfRule>
  </conditionalFormatting>
  <conditionalFormatting sqref="H14:I14 H16:I16 H18:I18 I47 H96:I98 H104:I106 H120:I10617">
    <cfRule type="notContainsBlanks" dxfId="58" priority="87">
      <formula>LEN(TRIM(H14))&gt;0</formula>
    </cfRule>
  </conditionalFormatting>
  <conditionalFormatting sqref="H20:I22 H24:I24 H28:I28 H30:I30 H32:I32">
    <cfRule type="notContainsBlanks" dxfId="57" priority="97">
      <formula>LEN(TRIM(H20))&gt;0</formula>
    </cfRule>
  </conditionalFormatting>
  <conditionalFormatting sqref="H26:I26">
    <cfRule type="notContainsBlanks" dxfId="56" priority="2">
      <formula>LEN(TRIM(H26))&gt;0</formula>
    </cfRule>
  </conditionalFormatting>
  <conditionalFormatting sqref="H34:I36 H46:I46">
    <cfRule type="notContainsBlanks" dxfId="55" priority="93">
      <formula>LEN(TRIM(H34))&gt;0</formula>
    </cfRule>
  </conditionalFormatting>
  <conditionalFormatting sqref="H38:I38 H40:I40">
    <cfRule type="notContainsBlanks" dxfId="54" priority="84">
      <formula>LEN(TRIM(H38))&gt;0</formula>
    </cfRule>
  </conditionalFormatting>
  <conditionalFormatting sqref="H42:I42 H44:I44">
    <cfRule type="notContainsBlanks" dxfId="53" priority="85">
      <formula>LEN(TRIM(H42))&gt;0</formula>
    </cfRule>
  </conditionalFormatting>
  <conditionalFormatting sqref="H55:I58">
    <cfRule type="notContainsBlanks" dxfId="52" priority="34">
      <formula>LEN(TRIM(H55))&gt;0</formula>
    </cfRule>
  </conditionalFormatting>
  <conditionalFormatting sqref="P121">
    <cfRule type="cellIs" dxfId="51" priority="108" operator="equal">
      <formula>0</formula>
    </cfRule>
    <cfRule type="cellIs" dxfId="50" priority="109" operator="notBetween">
      <formula>-0.01</formula>
      <formula>0.01</formula>
    </cfRule>
  </conditionalFormatting>
  <printOptions horizontalCentered="1"/>
  <pageMargins left="0.70866141732283461" right="0.70866141732283461" top="0.31496062992125984" bottom="0.55118110236220474" header="0.31496062992125984" footer="0.31496062992125984"/>
  <pageSetup paperSize="9" scale="62" fitToHeight="0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3">
    <pageSetUpPr fitToPage="1"/>
  </sheetPr>
  <dimension ref="A1:P29"/>
  <sheetViews>
    <sheetView zoomScale="87" zoomScaleNormal="55" workbookViewId="0">
      <selection activeCell="E9" sqref="E9"/>
    </sheetView>
  </sheetViews>
  <sheetFormatPr defaultColWidth="9.109375" defaultRowHeight="15.6" x14ac:dyDescent="0.3"/>
  <cols>
    <col min="1" max="1" width="5.44140625" style="16" customWidth="1"/>
    <col min="2" max="2" width="80.77734375" style="21" customWidth="1"/>
    <col min="3" max="3" width="12.44140625" style="32" customWidth="1"/>
    <col min="4" max="4" width="8.6640625" style="16" customWidth="1"/>
    <col min="5" max="6" width="15.6640625" style="20" customWidth="1"/>
    <col min="7" max="10" width="14.33203125" style="20" customWidth="1"/>
    <col min="11" max="13" width="15.6640625" style="20" customWidth="1"/>
    <col min="14" max="14" width="15.6640625" style="16" customWidth="1"/>
    <col min="15" max="16384" width="9.109375" style="16"/>
  </cols>
  <sheetData>
    <row r="1" spans="1:14" x14ac:dyDescent="0.3">
      <c r="A1" s="29"/>
      <c r="B1" s="23"/>
      <c r="C1" s="31"/>
      <c r="D1" s="24"/>
      <c r="E1" s="33"/>
      <c r="F1" s="34"/>
      <c r="G1" s="33"/>
      <c r="H1" s="33"/>
      <c r="I1" s="33"/>
      <c r="J1" s="24"/>
    </row>
    <row r="2" spans="1:14" x14ac:dyDescent="0.3">
      <c r="A2" s="15"/>
      <c r="B2" s="3" t="str">
        <f>+'Qual, Excl &amp; Assum'!B2</f>
        <v>PROJECT: Mr &amp; Mrs Hawkes-Cowands House</v>
      </c>
      <c r="F2" s="35"/>
      <c r="J2" s="16"/>
    </row>
    <row r="3" spans="1:14" x14ac:dyDescent="0.3">
      <c r="A3" s="15"/>
      <c r="B3" s="53" t="str">
        <f>+'Qual, Excl &amp; Assum'!B3</f>
        <v>DATE: 25TH SEPTEMBER 2025</v>
      </c>
      <c r="F3" s="35"/>
      <c r="J3" s="16"/>
    </row>
    <row r="4" spans="1:14" s="21" customFormat="1" ht="16.2" thickBot="1" x14ac:dyDescent="0.35">
      <c r="A4" s="15"/>
      <c r="B4" s="22"/>
      <c r="C4" s="32"/>
      <c r="E4" s="36"/>
      <c r="F4" s="37"/>
      <c r="G4" s="36"/>
      <c r="H4" s="36"/>
      <c r="I4" s="36"/>
      <c r="K4" s="20"/>
      <c r="L4" s="20"/>
      <c r="M4" s="20"/>
    </row>
    <row r="5" spans="1:14" s="21" customFormat="1" ht="38.25" customHeight="1" thickBot="1" x14ac:dyDescent="0.35">
      <c r="A5" s="210"/>
      <c r="B5" s="211" t="s">
        <v>29</v>
      </c>
      <c r="C5" s="212"/>
      <c r="D5" s="213"/>
      <c r="E5" s="214"/>
      <c r="F5" s="220"/>
      <c r="G5" s="371" t="s">
        <v>138</v>
      </c>
      <c r="H5" s="371"/>
      <c r="I5" s="371"/>
      <c r="J5" s="371"/>
      <c r="K5" s="370" t="s">
        <v>139</v>
      </c>
      <c r="L5" s="371"/>
      <c r="M5" s="371"/>
      <c r="N5" s="372"/>
    </row>
    <row r="6" spans="1:14" s="21" customFormat="1" ht="18" x14ac:dyDescent="0.35">
      <c r="A6" s="49"/>
      <c r="B6" s="38"/>
      <c r="C6" s="146"/>
      <c r="D6" s="38"/>
      <c r="E6" s="64"/>
      <c r="F6" s="201"/>
      <c r="G6" s="64"/>
      <c r="H6" s="64"/>
      <c r="I6" s="64"/>
      <c r="J6" s="38"/>
      <c r="K6" s="218"/>
      <c r="L6" s="20"/>
      <c r="M6" s="20"/>
      <c r="N6" s="27"/>
    </row>
    <row r="7" spans="1:14" s="21" customFormat="1" ht="18" x14ac:dyDescent="0.35">
      <c r="A7" s="49"/>
      <c r="B7" s="3" t="s">
        <v>3</v>
      </c>
      <c r="C7" s="263" t="s">
        <v>8</v>
      </c>
      <c r="D7" s="264" t="s">
        <v>2</v>
      </c>
      <c r="E7" s="54" t="s">
        <v>1</v>
      </c>
      <c r="F7" s="265" t="s">
        <v>0</v>
      </c>
      <c r="G7" s="266" t="s">
        <v>34</v>
      </c>
      <c r="H7" s="266" t="s">
        <v>35</v>
      </c>
      <c r="I7" s="266" t="s">
        <v>177</v>
      </c>
      <c r="J7" s="267" t="s">
        <v>178</v>
      </c>
      <c r="K7" s="266" t="s">
        <v>34</v>
      </c>
      <c r="L7" s="266" t="s">
        <v>35</v>
      </c>
      <c r="M7" s="266" t="s">
        <v>177</v>
      </c>
      <c r="N7" s="267" t="s">
        <v>178</v>
      </c>
    </row>
    <row r="8" spans="1:14" s="21" customFormat="1" ht="18" x14ac:dyDescent="0.35">
      <c r="A8" s="49"/>
      <c r="B8" s="153"/>
      <c r="C8" s="149"/>
      <c r="D8" s="61"/>
      <c r="E8" s="62"/>
      <c r="F8" s="202"/>
      <c r="G8" s="59"/>
      <c r="H8" s="48"/>
      <c r="I8" s="48"/>
      <c r="J8" s="61"/>
      <c r="K8" s="218"/>
      <c r="L8" s="20"/>
      <c r="M8" s="20"/>
      <c r="N8" s="203" t="str">
        <f t="shared" ref="N8" si="0">IF(D8=0," ",(J8*C8))</f>
        <v xml:space="preserve"> </v>
      </c>
    </row>
    <row r="9" spans="1:14" s="21" customFormat="1" ht="18" x14ac:dyDescent="0.35">
      <c r="A9" s="49">
        <v>1</v>
      </c>
      <c r="B9" s="38" t="s">
        <v>51</v>
      </c>
      <c r="C9" s="146">
        <v>416</v>
      </c>
      <c r="D9" s="51" t="s">
        <v>10</v>
      </c>
      <c r="E9" s="48">
        <f>G9+H9</f>
        <v>19.399999999999999</v>
      </c>
      <c r="F9" s="203">
        <f>E9*C9</f>
        <v>8070.4</v>
      </c>
      <c r="G9" s="48">
        <v>8</v>
      </c>
      <c r="H9" s="48">
        <v>11.4</v>
      </c>
      <c r="I9" s="48">
        <f>IF(D9=0," ",(G9)*(Details!$C$4+Details!$C$8))</f>
        <v>1.2000000000000002</v>
      </c>
      <c r="J9" s="203">
        <f>IF(D9=0," ",(H9)*(Details!$C$6+Details!$C$8))</f>
        <v>1.7100000000000004</v>
      </c>
      <c r="K9" s="59">
        <f>+G9*C9</f>
        <v>3328</v>
      </c>
      <c r="L9" s="48">
        <f>+H9*C9</f>
        <v>4742.4000000000005</v>
      </c>
      <c r="M9" s="48">
        <f>IF(D9=0," ",(I9*C9))</f>
        <v>499.20000000000005</v>
      </c>
      <c r="N9" s="203">
        <f>IF(D9=0," ",(J9*C9))</f>
        <v>711.36000000000013</v>
      </c>
    </row>
    <row r="10" spans="1:14" s="21" customFormat="1" ht="18" x14ac:dyDescent="0.35">
      <c r="A10" s="49"/>
      <c r="B10" s="153"/>
      <c r="C10" s="146"/>
      <c r="D10" s="51"/>
      <c r="E10" s="48"/>
      <c r="F10" s="203"/>
      <c r="G10" s="59"/>
      <c r="H10" s="48"/>
      <c r="I10" s="48"/>
      <c r="J10" s="203"/>
      <c r="K10" s="218"/>
      <c r="L10" s="20"/>
      <c r="M10" s="20"/>
      <c r="N10" s="203"/>
    </row>
    <row r="11" spans="1:14" s="21" customFormat="1" ht="18" x14ac:dyDescent="0.35">
      <c r="A11" s="75">
        <f>IF(F11&lt;&gt;"",(LARGE(A$7:A10,1)+1),"")</f>
        <v>2</v>
      </c>
      <c r="B11" s="38" t="s">
        <v>52</v>
      </c>
      <c r="C11" s="146">
        <f>+Joinery!C54+Joinery!C50</f>
        <v>167</v>
      </c>
      <c r="D11" s="51" t="s">
        <v>13</v>
      </c>
      <c r="E11" s="48">
        <f t="shared" ref="E11:E13" si="1">G11+H11</f>
        <v>18.8</v>
      </c>
      <c r="F11" s="203">
        <f t="shared" ref="F11:F13" si="2">E11*C11</f>
        <v>3139.6</v>
      </c>
      <c r="G11" s="48">
        <v>8</v>
      </c>
      <c r="H11" s="48">
        <v>10.8</v>
      </c>
      <c r="I11" s="48">
        <f>IF(D11=0," ",(G11)*(Details!$C$4+Details!$C$8))</f>
        <v>1.2000000000000002</v>
      </c>
      <c r="J11" s="203">
        <f>IF(D11=0," ",(H11)*(Details!$C$6+Details!$C$8))</f>
        <v>1.6200000000000003</v>
      </c>
      <c r="K11" s="59">
        <f>+G11*C11</f>
        <v>1336</v>
      </c>
      <c r="L11" s="48">
        <f>+H11*C11</f>
        <v>1803.6000000000001</v>
      </c>
      <c r="M11" s="48">
        <f>IF(D11=0," ",(I11*C11))</f>
        <v>200.40000000000003</v>
      </c>
      <c r="N11" s="203">
        <f>IF(D11=0," ",(J11*C11))</f>
        <v>270.54000000000008</v>
      </c>
    </row>
    <row r="12" spans="1:14" s="21" customFormat="1" ht="18" x14ac:dyDescent="0.35">
      <c r="A12" s="75" t="str">
        <f>IF(F12&lt;&gt;"",(LARGE(A$7:A11,1)+1),"")</f>
        <v/>
      </c>
      <c r="B12" s="153"/>
      <c r="C12" s="146"/>
      <c r="D12" s="51"/>
      <c r="E12" s="48"/>
      <c r="F12" s="203"/>
      <c r="G12" s="59"/>
      <c r="H12" s="48"/>
      <c r="I12" s="48"/>
      <c r="J12" s="203"/>
      <c r="K12" s="218"/>
      <c r="L12" s="20"/>
      <c r="M12" s="20"/>
      <c r="N12" s="203"/>
    </row>
    <row r="13" spans="1:14" s="21" customFormat="1" ht="18" x14ac:dyDescent="0.35">
      <c r="A13" s="75">
        <f>IF(F13&lt;&gt;"",(LARGE(A$7:A12,1)+1),"")</f>
        <v>3</v>
      </c>
      <c r="B13" s="38" t="s">
        <v>53</v>
      </c>
      <c r="C13" s="146">
        <v>10</v>
      </c>
      <c r="D13" s="51" t="s">
        <v>12</v>
      </c>
      <c r="E13" s="48">
        <f t="shared" si="1"/>
        <v>140</v>
      </c>
      <c r="F13" s="203">
        <f t="shared" si="2"/>
        <v>1400</v>
      </c>
      <c r="G13" s="48">
        <v>45</v>
      </c>
      <c r="H13" s="48">
        <v>95</v>
      </c>
      <c r="I13" s="48">
        <f>IF(D13=0," ",(G13)*(Details!$C$4+Details!$C$8))</f>
        <v>6.7500000000000009</v>
      </c>
      <c r="J13" s="203">
        <f>IF(D13=0," ",(H13)*(Details!$C$6+Details!$C$8))</f>
        <v>14.250000000000002</v>
      </c>
      <c r="K13" s="59">
        <f>+G13*C13</f>
        <v>450</v>
      </c>
      <c r="L13" s="48">
        <f>+H13*C13</f>
        <v>950</v>
      </c>
      <c r="M13" s="48">
        <f>IF(D13=0," ",(I13*C13))</f>
        <v>67.500000000000014</v>
      </c>
      <c r="N13" s="203">
        <f>IF(D13=0," ",(J13*C13))</f>
        <v>142.50000000000003</v>
      </c>
    </row>
    <row r="14" spans="1:14" s="21" customFormat="1" ht="18" x14ac:dyDescent="0.35">
      <c r="A14" s="75" t="str">
        <f>IF(F14&lt;&gt;"",(LARGE(A$7:A13,1)+1),"")</f>
        <v/>
      </c>
      <c r="B14" s="38"/>
      <c r="C14" s="146"/>
      <c r="D14" s="51"/>
      <c r="E14" s="48"/>
      <c r="F14" s="203"/>
      <c r="G14" s="48"/>
      <c r="H14" s="48"/>
      <c r="I14" s="48"/>
      <c r="J14" s="203"/>
      <c r="K14" s="59"/>
      <c r="L14" s="48"/>
      <c r="M14" s="48"/>
      <c r="N14" s="203"/>
    </row>
    <row r="15" spans="1:14" s="21" customFormat="1" ht="18" x14ac:dyDescent="0.35">
      <c r="A15" s="75" t="str">
        <f>IF(F15&lt;&gt;"",(LARGE(A$7:A14,1)+1),"")</f>
        <v/>
      </c>
      <c r="B15" s="170" t="s">
        <v>453</v>
      </c>
      <c r="C15" s="146"/>
      <c r="D15" s="51"/>
      <c r="E15" s="48"/>
      <c r="F15" s="203"/>
      <c r="G15" s="48"/>
      <c r="H15" s="48"/>
      <c r="I15" s="48"/>
      <c r="J15" s="203"/>
      <c r="K15" s="59"/>
      <c r="L15" s="48"/>
      <c r="M15" s="48"/>
      <c r="N15" s="203"/>
    </row>
    <row r="16" spans="1:14" s="21" customFormat="1" ht="18" x14ac:dyDescent="0.35">
      <c r="A16" s="75" t="str">
        <f>IF(F16&lt;&gt;"",(LARGE(A$7:A15,1)+1),"")</f>
        <v/>
      </c>
      <c r="B16" s="38"/>
      <c r="C16" s="146"/>
      <c r="D16" s="51"/>
      <c r="E16" s="48"/>
      <c r="F16" s="203"/>
      <c r="G16" s="48"/>
      <c r="H16" s="48"/>
      <c r="I16" s="48"/>
      <c r="J16" s="203"/>
      <c r="K16" s="59"/>
      <c r="L16" s="48"/>
      <c r="M16" s="48"/>
      <c r="N16" s="203"/>
    </row>
    <row r="17" spans="1:16" s="21" customFormat="1" ht="18" x14ac:dyDescent="0.35">
      <c r="A17" s="75">
        <f>IF(F17&lt;&gt;"",(LARGE(A$7:A16,1)+1),"")</f>
        <v>4</v>
      </c>
      <c r="B17" s="38" t="s">
        <v>454</v>
      </c>
      <c r="C17" s="146">
        <v>6.91</v>
      </c>
      <c r="D17" s="51" t="s">
        <v>13</v>
      </c>
      <c r="E17" s="48">
        <f>G17+H17</f>
        <v>21.4</v>
      </c>
      <c r="F17" s="203">
        <f t="shared" ref="F17:F25" si="3">E17*C17</f>
        <v>147.874</v>
      </c>
      <c r="G17" s="48">
        <v>8</v>
      </c>
      <c r="H17" s="48">
        <v>13.4</v>
      </c>
      <c r="I17" s="48">
        <f>IF(D17=0," ",(G17)*(Details!$C$4+Details!$C$8))</f>
        <v>1.2000000000000002</v>
      </c>
      <c r="J17" s="203">
        <f>IF(D17=0," ",(H17)*(Details!$C$6+Details!$C$8))</f>
        <v>2.0100000000000002</v>
      </c>
      <c r="K17" s="59">
        <f t="shared" ref="K17:K25" si="4">+G17*C17</f>
        <v>55.28</v>
      </c>
      <c r="L17" s="48">
        <f t="shared" ref="L17:L25" si="5">+H17*C17</f>
        <v>92.594000000000008</v>
      </c>
      <c r="M17" s="48">
        <f t="shared" ref="M17:M25" si="6">IF(D17=0," ",(I17*C17))</f>
        <v>8.2920000000000016</v>
      </c>
      <c r="N17" s="203">
        <f t="shared" ref="N17:N25" si="7">IF(D17=0," ",(J17*C17))</f>
        <v>13.889100000000003</v>
      </c>
    </row>
    <row r="18" spans="1:16" s="21" customFormat="1" ht="18" x14ac:dyDescent="0.35">
      <c r="A18" s="75"/>
      <c r="B18" s="38"/>
      <c r="C18" s="146"/>
      <c r="D18" s="51"/>
      <c r="E18" s="48"/>
      <c r="F18" s="203"/>
      <c r="G18" s="48"/>
      <c r="H18" s="48"/>
      <c r="I18" s="48"/>
      <c r="J18" s="203"/>
      <c r="K18" s="59"/>
      <c r="L18" s="48"/>
      <c r="M18" s="48"/>
      <c r="N18" s="203"/>
    </row>
    <row r="19" spans="1:16" s="21" customFormat="1" ht="18" x14ac:dyDescent="0.35">
      <c r="A19" s="75">
        <f>IF(F19&lt;&gt;"",(LARGE(A$7:A17,1)+1),"")</f>
        <v>5</v>
      </c>
      <c r="B19" s="38" t="s">
        <v>455</v>
      </c>
      <c r="C19" s="146">
        <v>41.96</v>
      </c>
      <c r="D19" s="51" t="s">
        <v>13</v>
      </c>
      <c r="E19" s="48">
        <f t="shared" ref="E19:E25" si="8">G19+H19</f>
        <v>16.3</v>
      </c>
      <c r="F19" s="203">
        <f t="shared" si="3"/>
        <v>683.94800000000009</v>
      </c>
      <c r="G19" s="48">
        <v>6.5</v>
      </c>
      <c r="H19" s="48">
        <v>9.8000000000000007</v>
      </c>
      <c r="I19" s="48">
        <f>IF(D19=0," ",(G19)*(Details!$C$4+Details!$C$8))</f>
        <v>0.97500000000000009</v>
      </c>
      <c r="J19" s="203">
        <f>IF(D19=0," ",(H19)*(Details!$C$6+Details!$C$8))</f>
        <v>1.4700000000000004</v>
      </c>
      <c r="K19" s="59">
        <f t="shared" si="4"/>
        <v>272.74</v>
      </c>
      <c r="L19" s="48">
        <f t="shared" si="5"/>
        <v>411.20800000000003</v>
      </c>
      <c r="M19" s="48">
        <f t="shared" si="6"/>
        <v>40.911000000000001</v>
      </c>
      <c r="N19" s="203">
        <f t="shared" si="7"/>
        <v>61.681200000000018</v>
      </c>
    </row>
    <row r="20" spans="1:16" s="21" customFormat="1" ht="18" x14ac:dyDescent="0.35">
      <c r="A20" s="75"/>
      <c r="B20" s="38"/>
      <c r="C20" s="146"/>
      <c r="D20" s="51"/>
      <c r="E20" s="48"/>
      <c r="F20" s="203"/>
      <c r="G20" s="48"/>
      <c r="H20" s="48"/>
      <c r="I20" s="48"/>
      <c r="J20" s="203"/>
      <c r="K20" s="59"/>
      <c r="L20" s="48"/>
      <c r="M20" s="48"/>
      <c r="N20" s="203"/>
    </row>
    <row r="21" spans="1:16" s="21" customFormat="1" ht="18" x14ac:dyDescent="0.35">
      <c r="A21" s="75">
        <f>IF(F21&lt;&gt;"",(LARGE(A$7:A19,1)+1),"")</f>
        <v>6</v>
      </c>
      <c r="B21" s="38" t="s">
        <v>456</v>
      </c>
      <c r="C21" s="146">
        <v>13.91</v>
      </c>
      <c r="D21" s="51" t="s">
        <v>13</v>
      </c>
      <c r="E21" s="48">
        <f t="shared" si="8"/>
        <v>5.2</v>
      </c>
      <c r="F21" s="203">
        <f t="shared" si="3"/>
        <v>72.332000000000008</v>
      </c>
      <c r="G21" s="48">
        <v>2</v>
      </c>
      <c r="H21" s="48">
        <v>3.2</v>
      </c>
      <c r="I21" s="48">
        <f>IF(D21=0," ",(G21)*(Details!$C$4+Details!$C$8))</f>
        <v>0.30000000000000004</v>
      </c>
      <c r="J21" s="203">
        <f>IF(D21=0," ",(H21)*(Details!$C$6+Details!$C$8))</f>
        <v>0.48000000000000009</v>
      </c>
      <c r="K21" s="59">
        <f t="shared" si="4"/>
        <v>27.82</v>
      </c>
      <c r="L21" s="48">
        <f t="shared" si="5"/>
        <v>44.512</v>
      </c>
      <c r="M21" s="48">
        <f t="shared" si="6"/>
        <v>4.1730000000000009</v>
      </c>
      <c r="N21" s="203">
        <f t="shared" si="7"/>
        <v>6.676800000000001</v>
      </c>
    </row>
    <row r="22" spans="1:16" s="21" customFormat="1" ht="18" x14ac:dyDescent="0.35">
      <c r="A22" s="75"/>
      <c r="B22" s="38"/>
      <c r="C22" s="146"/>
      <c r="D22" s="51"/>
      <c r="E22" s="48"/>
      <c r="F22" s="203"/>
      <c r="G22" s="48"/>
      <c r="H22" s="48"/>
      <c r="I22" s="48"/>
      <c r="J22" s="203"/>
      <c r="K22" s="59"/>
      <c r="L22" s="48"/>
      <c r="M22" s="48"/>
      <c r="N22" s="203"/>
    </row>
    <row r="23" spans="1:16" s="21" customFormat="1" ht="18" x14ac:dyDescent="0.35">
      <c r="A23" s="75">
        <f>IF(F23&lt;&gt;"",(LARGE(A$7:A21,1)+1),"")</f>
        <v>7</v>
      </c>
      <c r="B23" s="38" t="s">
        <v>457</v>
      </c>
      <c r="C23" s="146">
        <v>8.76</v>
      </c>
      <c r="D23" s="51" t="s">
        <v>13</v>
      </c>
      <c r="E23" s="48">
        <f t="shared" si="8"/>
        <v>29.3</v>
      </c>
      <c r="F23" s="203">
        <f t="shared" si="3"/>
        <v>256.66800000000001</v>
      </c>
      <c r="G23" s="48">
        <v>11.5</v>
      </c>
      <c r="H23" s="48">
        <v>17.8</v>
      </c>
      <c r="I23" s="48">
        <f>IF(D23=0," ",(G23)*(Details!$C$4+Details!$C$8))</f>
        <v>1.7250000000000003</v>
      </c>
      <c r="J23" s="203">
        <f>IF(D23=0," ",(H23)*(Details!$C$6+Details!$C$8))</f>
        <v>2.6700000000000004</v>
      </c>
      <c r="K23" s="59">
        <f t="shared" si="4"/>
        <v>100.74</v>
      </c>
      <c r="L23" s="48">
        <f t="shared" si="5"/>
        <v>155.928</v>
      </c>
      <c r="M23" s="48">
        <f t="shared" si="6"/>
        <v>15.111000000000002</v>
      </c>
      <c r="N23" s="203">
        <f t="shared" si="7"/>
        <v>23.389200000000002</v>
      </c>
    </row>
    <row r="24" spans="1:16" s="21" customFormat="1" ht="18" x14ac:dyDescent="0.35">
      <c r="A24" s="75"/>
      <c r="B24" s="38"/>
      <c r="C24" s="146"/>
      <c r="D24" s="51"/>
      <c r="E24" s="48"/>
      <c r="F24" s="203"/>
      <c r="G24" s="48"/>
      <c r="H24" s="48"/>
      <c r="I24" s="48"/>
      <c r="J24" s="203"/>
      <c r="K24" s="59"/>
      <c r="L24" s="48"/>
      <c r="M24" s="48"/>
      <c r="N24" s="203"/>
    </row>
    <row r="25" spans="1:16" s="21" customFormat="1" ht="18" x14ac:dyDescent="0.35">
      <c r="A25" s="75">
        <f>IF(F25&lt;&gt;"",(LARGE(A$7:A23,1)+1),"")</f>
        <v>8</v>
      </c>
      <c r="B25" s="38" t="s">
        <v>458</v>
      </c>
      <c r="C25" s="146">
        <v>13.33</v>
      </c>
      <c r="D25" s="51" t="s">
        <v>13</v>
      </c>
      <c r="E25" s="48">
        <f t="shared" si="8"/>
        <v>33.200000000000003</v>
      </c>
      <c r="F25" s="203">
        <f t="shared" si="3"/>
        <v>442.55600000000004</v>
      </c>
      <c r="G25" s="48">
        <v>13.4</v>
      </c>
      <c r="H25" s="48">
        <v>19.8</v>
      </c>
      <c r="I25" s="48">
        <f>IF(D25=0," ",(G25)*(Details!$C$4+Details!$C$8))</f>
        <v>2.0100000000000002</v>
      </c>
      <c r="J25" s="203">
        <f>IF(D25=0," ",(H25)*(Details!$C$6+Details!$C$8))</f>
        <v>2.9700000000000006</v>
      </c>
      <c r="K25" s="59">
        <f t="shared" si="4"/>
        <v>178.62200000000001</v>
      </c>
      <c r="L25" s="48">
        <f t="shared" si="5"/>
        <v>263.93400000000003</v>
      </c>
      <c r="M25" s="48">
        <f t="shared" si="6"/>
        <v>26.793300000000002</v>
      </c>
      <c r="N25" s="203">
        <f t="shared" si="7"/>
        <v>39.590100000000007</v>
      </c>
    </row>
    <row r="26" spans="1:16" s="21" customFormat="1" ht="18" x14ac:dyDescent="0.35">
      <c r="A26" s="75"/>
      <c r="B26" s="38"/>
      <c r="C26" s="146"/>
      <c r="D26" s="51"/>
      <c r="E26" s="48"/>
      <c r="F26" s="203"/>
      <c r="G26" s="48"/>
      <c r="H26" s="48"/>
      <c r="I26" s="48"/>
      <c r="J26" s="203"/>
      <c r="K26" s="59"/>
      <c r="L26" s="48"/>
      <c r="M26" s="48"/>
      <c r="N26" s="203"/>
    </row>
    <row r="27" spans="1:16" s="21" customFormat="1" ht="18" x14ac:dyDescent="0.35">
      <c r="A27" s="75" t="str">
        <f>IF(F27&lt;&gt;"",(LARGE(A$7:A13,1)+1),"")</f>
        <v/>
      </c>
      <c r="B27" s="153"/>
      <c r="C27" s="171"/>
      <c r="D27" s="51"/>
      <c r="E27" s="48"/>
      <c r="F27" s="203"/>
      <c r="G27" s="59"/>
      <c r="H27" s="48"/>
      <c r="I27" s="48"/>
      <c r="J27" s="203" t="str">
        <f>IF(D27=0," ",(G27+H27)*(Details!$C$4+Details!$C$6))</f>
        <v xml:space="preserve"> </v>
      </c>
      <c r="K27" s="218"/>
      <c r="L27" s="20"/>
      <c r="M27" s="20"/>
      <c r="N27" s="203"/>
      <c r="P27" s="72" t="s">
        <v>142</v>
      </c>
    </row>
    <row r="28" spans="1:16" s="21" customFormat="1" ht="18.600000000000001" thickBot="1" x14ac:dyDescent="0.4">
      <c r="A28" s="75"/>
      <c r="B28" s="164"/>
      <c r="C28" s="146"/>
      <c r="D28" s="60"/>
      <c r="E28" s="62" t="s">
        <v>115</v>
      </c>
      <c r="F28" s="204">
        <f>SUM(F1:F27)</f>
        <v>14213.378000000001</v>
      </c>
      <c r="G28" s="59"/>
      <c r="H28" s="48"/>
      <c r="I28" s="48"/>
      <c r="J28" s="203" t="str">
        <f>IF(D28=0," ",(G28+H28)*(Details!$C$4+Details!$C$6))</f>
        <v xml:space="preserve"> </v>
      </c>
      <c r="K28" s="252">
        <f>SUM(K1:K27)</f>
        <v>5749.2019999999993</v>
      </c>
      <c r="L28" s="253">
        <f>SUM(L1:L27)</f>
        <v>8464.1759999999995</v>
      </c>
      <c r="M28" s="253">
        <f>SUM(M1:M27)</f>
        <v>862.38030000000015</v>
      </c>
      <c r="N28" s="204">
        <f>SUM(N1:N27)</f>
        <v>1269.6264000000006</v>
      </c>
      <c r="O28" s="55"/>
      <c r="P28" s="72">
        <f>+F28-K28-L28-N28-M28</f>
        <v>-2132.006699999999</v>
      </c>
    </row>
    <row r="29" spans="1:16" s="21" customFormat="1" ht="19.2" thickTop="1" thickBot="1" x14ac:dyDescent="0.4">
      <c r="A29" s="50"/>
      <c r="B29" s="166"/>
      <c r="C29" s="159"/>
      <c r="D29" s="63"/>
      <c r="E29" s="65"/>
      <c r="F29" s="67"/>
      <c r="G29" s="66"/>
      <c r="H29" s="65"/>
      <c r="I29" s="65"/>
      <c r="J29" s="65"/>
      <c r="K29" s="254"/>
      <c r="L29" s="231"/>
      <c r="M29" s="231"/>
      <c r="N29" s="191"/>
      <c r="O29" s="55"/>
    </row>
  </sheetData>
  <mergeCells count="2">
    <mergeCell ref="G5:J5"/>
    <mergeCell ref="K5:N5"/>
  </mergeCells>
  <conditionalFormatting sqref="G8:G10524">
    <cfRule type="notContainsBlanks" dxfId="49" priority="1">
      <formula>LEN(TRIM(G8))&gt;0</formula>
    </cfRule>
  </conditionalFormatting>
  <conditionalFormatting sqref="H9:H11">
    <cfRule type="notContainsBlanks" dxfId="48" priority="6">
      <formula>LEN(TRIM(H9))&gt;0</formula>
    </cfRule>
  </conditionalFormatting>
  <conditionalFormatting sqref="H13:H26">
    <cfRule type="notContainsBlanks" dxfId="47" priority="2">
      <formula>LEN(TRIM(H13))&gt;0</formula>
    </cfRule>
  </conditionalFormatting>
  <conditionalFormatting sqref="H8:I8">
    <cfRule type="notContainsBlanks" dxfId="46" priority="23">
      <formula>LEN(TRIM(H8))&gt;0</formula>
    </cfRule>
  </conditionalFormatting>
  <conditionalFormatting sqref="H12:I12 H27:I10424">
    <cfRule type="notContainsBlanks" dxfId="45" priority="12">
      <formula>LEN(TRIM(H12))&gt;0</formula>
    </cfRule>
  </conditionalFormatting>
  <conditionalFormatting sqref="I10">
    <cfRule type="notContainsBlanks" dxfId="44" priority="18">
      <formula>LEN(TRIM(I10))&gt;0</formula>
    </cfRule>
  </conditionalFormatting>
  <conditionalFormatting sqref="P28">
    <cfRule type="cellIs" dxfId="43" priority="19" operator="equal">
      <formula>0</formula>
    </cfRule>
    <cfRule type="cellIs" dxfId="42" priority="20" operator="notBetween">
      <formula>-0.01</formula>
      <formula>0.01</formula>
    </cfRule>
  </conditionalFormatting>
  <printOptions horizontalCentered="1"/>
  <pageMargins left="0.70866141732283461" right="0.70866141732283461" top="0.31496062992125984" bottom="0.55118110236220474" header="0.31496062992125984" footer="0.31496062992125984"/>
  <pageSetup paperSize="9" scale="62" fitToHeight="0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4">
    <pageSetUpPr fitToPage="1"/>
  </sheetPr>
  <dimension ref="A1:P24"/>
  <sheetViews>
    <sheetView zoomScale="93" zoomScaleNormal="55" workbookViewId="0">
      <selection activeCell="E11" sqref="E11:F11"/>
    </sheetView>
  </sheetViews>
  <sheetFormatPr defaultColWidth="9.109375" defaultRowHeight="15.6" x14ac:dyDescent="0.3"/>
  <cols>
    <col min="1" max="1" width="5.44140625" style="16" customWidth="1"/>
    <col min="2" max="2" width="80.77734375" style="21" customWidth="1"/>
    <col min="3" max="3" width="12.44140625" style="32" customWidth="1"/>
    <col min="4" max="4" width="8.6640625" style="16" customWidth="1"/>
    <col min="5" max="6" width="15.6640625" style="20" customWidth="1"/>
    <col min="7" max="10" width="14.33203125" style="20" customWidth="1"/>
    <col min="11" max="13" width="15.6640625" style="20" customWidth="1"/>
    <col min="14" max="14" width="15.6640625" style="16" customWidth="1"/>
    <col min="15" max="16384" width="9.109375" style="16"/>
  </cols>
  <sheetData>
    <row r="1" spans="1:14" x14ac:dyDescent="0.3">
      <c r="A1" s="29"/>
      <c r="B1" s="23"/>
      <c r="C1" s="31"/>
      <c r="D1" s="24"/>
      <c r="E1" s="33"/>
      <c r="F1" s="34"/>
      <c r="G1" s="33"/>
      <c r="H1" s="33"/>
      <c r="I1" s="33"/>
      <c r="J1" s="24"/>
    </row>
    <row r="2" spans="1:14" x14ac:dyDescent="0.3">
      <c r="A2" s="15"/>
      <c r="B2" s="3" t="str">
        <f>+'Qual, Excl &amp; Assum'!B2</f>
        <v>PROJECT: Mr &amp; Mrs Hawkes-Cowands House</v>
      </c>
      <c r="F2" s="35"/>
      <c r="J2" s="16"/>
    </row>
    <row r="3" spans="1:14" x14ac:dyDescent="0.3">
      <c r="A3" s="15"/>
      <c r="B3" s="53" t="str">
        <f>+'Qual, Excl &amp; Assum'!B3</f>
        <v>DATE: 25TH SEPTEMBER 2025</v>
      </c>
      <c r="F3" s="35"/>
      <c r="J3" s="16"/>
    </row>
    <row r="4" spans="1:14" s="21" customFormat="1" ht="16.2" thickBot="1" x14ac:dyDescent="0.35">
      <c r="A4" s="15"/>
      <c r="B4" s="22"/>
      <c r="C4" s="32"/>
      <c r="E4" s="36"/>
      <c r="F4" s="37"/>
      <c r="G4" s="36"/>
      <c r="H4" s="36"/>
      <c r="I4" s="36"/>
      <c r="K4" s="20"/>
      <c r="L4" s="20"/>
      <c r="M4" s="20"/>
    </row>
    <row r="5" spans="1:14" s="21" customFormat="1" ht="38.25" customHeight="1" thickBot="1" x14ac:dyDescent="0.35">
      <c r="A5" s="210"/>
      <c r="B5" s="211" t="s">
        <v>38</v>
      </c>
      <c r="C5" s="212"/>
      <c r="D5" s="213"/>
      <c r="E5" s="214"/>
      <c r="F5" s="220"/>
      <c r="G5" s="371" t="s">
        <v>138</v>
      </c>
      <c r="H5" s="371"/>
      <c r="I5" s="371"/>
      <c r="J5" s="371"/>
      <c r="K5" s="370" t="s">
        <v>139</v>
      </c>
      <c r="L5" s="371"/>
      <c r="M5" s="371"/>
      <c r="N5" s="372"/>
    </row>
    <row r="6" spans="1:14" s="21" customFormat="1" ht="18" x14ac:dyDescent="0.35">
      <c r="A6" s="49"/>
      <c r="B6" s="38"/>
      <c r="C6" s="146"/>
      <c r="D6" s="38"/>
      <c r="E6" s="64"/>
      <c r="F6" s="201"/>
      <c r="G6" s="64"/>
      <c r="H6" s="64"/>
      <c r="I6" s="64"/>
      <c r="J6" s="38"/>
      <c r="K6" s="218"/>
      <c r="L6" s="20"/>
      <c r="M6" s="20"/>
      <c r="N6" s="27"/>
    </row>
    <row r="7" spans="1:14" s="21" customFormat="1" ht="18" x14ac:dyDescent="0.35">
      <c r="A7" s="49"/>
      <c r="B7" s="3" t="s">
        <v>3</v>
      </c>
      <c r="C7" s="263" t="s">
        <v>8</v>
      </c>
      <c r="D7" s="264" t="s">
        <v>2</v>
      </c>
      <c r="E7" s="54" t="s">
        <v>1</v>
      </c>
      <c r="F7" s="265" t="s">
        <v>0</v>
      </c>
      <c r="G7" s="266" t="s">
        <v>34</v>
      </c>
      <c r="H7" s="266" t="s">
        <v>35</v>
      </c>
      <c r="I7" s="266" t="s">
        <v>177</v>
      </c>
      <c r="J7" s="267" t="s">
        <v>178</v>
      </c>
      <c r="K7" s="266" t="s">
        <v>34</v>
      </c>
      <c r="L7" s="266" t="s">
        <v>35</v>
      </c>
      <c r="M7" s="266" t="s">
        <v>177</v>
      </c>
      <c r="N7" s="267" t="s">
        <v>178</v>
      </c>
    </row>
    <row r="8" spans="1:14" s="21" customFormat="1" ht="18" x14ac:dyDescent="0.35">
      <c r="A8" s="49"/>
      <c r="B8" s="160"/>
      <c r="C8" s="149"/>
      <c r="D8" s="61"/>
      <c r="E8" s="62"/>
      <c r="F8" s="202"/>
      <c r="G8" s="59"/>
      <c r="H8" s="48"/>
      <c r="I8" s="48"/>
      <c r="J8" s="61"/>
      <c r="K8" s="218"/>
      <c r="L8" s="20"/>
      <c r="M8" s="20"/>
      <c r="N8" s="203" t="str">
        <f t="shared" ref="N8" si="0">IF(D8=0," ",(J8*C8))</f>
        <v xml:space="preserve"> </v>
      </c>
    </row>
    <row r="9" spans="1:14" s="21" customFormat="1" ht="18" x14ac:dyDescent="0.35">
      <c r="A9" s="49"/>
      <c r="B9" s="170" t="s">
        <v>60</v>
      </c>
      <c r="C9" s="146"/>
      <c r="D9" s="60"/>
      <c r="E9" s="48"/>
      <c r="F9" s="203"/>
      <c r="G9" s="59"/>
      <c r="H9" s="48"/>
      <c r="I9" s="48"/>
      <c r="J9" s="48"/>
      <c r="K9" s="218"/>
      <c r="L9" s="20"/>
      <c r="M9" s="20"/>
      <c r="N9" s="203"/>
    </row>
    <row r="10" spans="1:14" s="21" customFormat="1" ht="18" x14ac:dyDescent="0.35">
      <c r="A10" s="49"/>
      <c r="B10" s="170"/>
      <c r="C10" s="146"/>
      <c r="D10" s="60"/>
      <c r="E10" s="48"/>
      <c r="F10" s="203"/>
      <c r="G10" s="48"/>
      <c r="H10" s="48"/>
      <c r="I10" s="48"/>
      <c r="J10" s="48"/>
      <c r="K10" s="218"/>
      <c r="L10" s="20"/>
      <c r="M10" s="20"/>
      <c r="N10" s="203"/>
    </row>
    <row r="11" spans="1:14" s="21" customFormat="1" ht="18" x14ac:dyDescent="0.35">
      <c r="A11" s="49">
        <v>1</v>
      </c>
      <c r="B11" s="153" t="s">
        <v>396</v>
      </c>
      <c r="C11" s="146">
        <v>56.77</v>
      </c>
      <c r="D11" s="51" t="s">
        <v>10</v>
      </c>
      <c r="E11" s="48">
        <f>G11+H11</f>
        <v>54.8</v>
      </c>
      <c r="F11" s="203">
        <f>E11*C11</f>
        <v>3110.9960000000001</v>
      </c>
      <c r="G11" s="48">
        <v>20</v>
      </c>
      <c r="H11" s="48">
        <v>34.799999999999997</v>
      </c>
      <c r="I11" s="48">
        <f>IF(D11=0," ",(G11)*(Details!$C$4+Details!$C$8))</f>
        <v>3.0000000000000004</v>
      </c>
      <c r="J11" s="203">
        <f>IF(D11=0," ",(H11)*(Details!$C$6+Details!$C$8))</f>
        <v>5.2200000000000006</v>
      </c>
      <c r="K11" s="59">
        <f>+G11*C11</f>
        <v>1135.4000000000001</v>
      </c>
      <c r="L11" s="48">
        <f>+H11*C11</f>
        <v>1975.596</v>
      </c>
      <c r="M11" s="48">
        <f>IF(D11=0," ",(I11*C11))</f>
        <v>170.31000000000003</v>
      </c>
      <c r="N11" s="203">
        <f>IF(D11=0," ",(J11*C11))</f>
        <v>296.33940000000007</v>
      </c>
    </row>
    <row r="12" spans="1:14" s="21" customFormat="1" ht="18" x14ac:dyDescent="0.35">
      <c r="A12" s="49"/>
      <c r="B12" s="153"/>
      <c r="C12" s="146"/>
      <c r="D12" s="51"/>
      <c r="E12" s="48"/>
      <c r="F12" s="203"/>
      <c r="G12" s="48"/>
      <c r="H12" s="48"/>
      <c r="I12" s="48"/>
      <c r="J12" s="203"/>
      <c r="K12" s="59"/>
      <c r="L12" s="48"/>
      <c r="M12" s="48"/>
      <c r="N12" s="203"/>
    </row>
    <row r="13" spans="1:14" s="21" customFormat="1" ht="18" x14ac:dyDescent="0.35">
      <c r="A13" s="49">
        <v>2</v>
      </c>
      <c r="B13" s="153" t="s">
        <v>397</v>
      </c>
      <c r="C13" s="146">
        <v>15.91</v>
      </c>
      <c r="D13" s="51" t="s">
        <v>10</v>
      </c>
      <c r="E13" s="48">
        <f t="shared" ref="E13:E19" si="1">G13+H13</f>
        <v>74.25</v>
      </c>
      <c r="F13" s="203">
        <f t="shared" ref="F13:F19" si="2">E13*C13</f>
        <v>1181.3175000000001</v>
      </c>
      <c r="G13" s="48">
        <v>26.45</v>
      </c>
      <c r="H13" s="48">
        <v>47.8</v>
      </c>
      <c r="I13" s="48">
        <f>IF(D13=0," ",(G13)*(Details!$C$4+Details!$C$8))</f>
        <v>3.9675000000000007</v>
      </c>
      <c r="J13" s="203">
        <f>IF(D13=0," ",(H13)*(Details!$C$6+Details!$C$8))</f>
        <v>7.1700000000000008</v>
      </c>
      <c r="K13" s="59">
        <f t="shared" ref="K13:K19" si="3">+G13*C13</f>
        <v>420.81950000000001</v>
      </c>
      <c r="L13" s="48">
        <f t="shared" ref="L13:L19" si="4">+H13*C13</f>
        <v>760.49799999999993</v>
      </c>
      <c r="M13" s="48">
        <f t="shared" ref="M13:M19" si="5">IF(D13=0," ",(I13*C13))</f>
        <v>63.122925000000009</v>
      </c>
      <c r="N13" s="203">
        <f t="shared" ref="N13:N19" si="6">IF(D13=0," ",(J13*C13))</f>
        <v>114.07470000000001</v>
      </c>
    </row>
    <row r="14" spans="1:14" s="21" customFormat="1" ht="18" x14ac:dyDescent="0.35">
      <c r="A14" s="49"/>
      <c r="B14" s="153"/>
      <c r="C14" s="146"/>
      <c r="D14" s="51"/>
      <c r="E14" s="48"/>
      <c r="F14" s="203"/>
      <c r="G14" s="48"/>
      <c r="H14" s="48"/>
      <c r="I14" s="48"/>
      <c r="J14" s="203"/>
      <c r="K14" s="59"/>
      <c r="L14" s="48"/>
      <c r="M14" s="48"/>
      <c r="N14" s="203"/>
    </row>
    <row r="15" spans="1:14" s="21" customFormat="1" ht="18" x14ac:dyDescent="0.35">
      <c r="A15" s="49">
        <v>3</v>
      </c>
      <c r="B15" s="153" t="s">
        <v>398</v>
      </c>
      <c r="C15" s="146">
        <v>15.44</v>
      </c>
      <c r="D15" s="51" t="s">
        <v>10</v>
      </c>
      <c r="E15" s="48">
        <f t="shared" si="1"/>
        <v>88.199999999999989</v>
      </c>
      <c r="F15" s="203">
        <f t="shared" si="2"/>
        <v>1361.8079999999998</v>
      </c>
      <c r="G15" s="48">
        <v>25.4</v>
      </c>
      <c r="H15" s="48">
        <v>62.8</v>
      </c>
      <c r="I15" s="48">
        <f>IF(D15=0," ",(G15)*(Details!$C$4+Details!$C$8))</f>
        <v>3.8100000000000005</v>
      </c>
      <c r="J15" s="203">
        <f>IF(D15=0," ",(H15)*(Details!$C$6+Details!$C$8))</f>
        <v>9.4200000000000017</v>
      </c>
      <c r="K15" s="59">
        <f t="shared" si="3"/>
        <v>392.17599999999999</v>
      </c>
      <c r="L15" s="48">
        <f t="shared" si="4"/>
        <v>969.63199999999995</v>
      </c>
      <c r="M15" s="48">
        <f t="shared" si="5"/>
        <v>58.826400000000007</v>
      </c>
      <c r="N15" s="203">
        <f t="shared" si="6"/>
        <v>145.44480000000001</v>
      </c>
    </row>
    <row r="16" spans="1:14" s="21" customFormat="1" ht="18" x14ac:dyDescent="0.35">
      <c r="A16" s="49"/>
      <c r="B16" s="153"/>
      <c r="C16" s="146"/>
      <c r="D16" s="51"/>
      <c r="E16" s="48"/>
      <c r="F16" s="203"/>
      <c r="G16" s="48"/>
      <c r="H16" s="48"/>
      <c r="I16" s="48"/>
      <c r="J16" s="203"/>
      <c r="K16" s="59"/>
      <c r="L16" s="48"/>
      <c r="M16" s="48"/>
      <c r="N16" s="203"/>
    </row>
    <row r="17" spans="1:16" s="21" customFormat="1" ht="18" x14ac:dyDescent="0.35">
      <c r="A17" s="49">
        <v>4</v>
      </c>
      <c r="B17" s="153" t="s">
        <v>399</v>
      </c>
      <c r="C17" s="146">
        <v>3.25</v>
      </c>
      <c r="D17" s="51" t="s">
        <v>10</v>
      </c>
      <c r="E17" s="48">
        <f t="shared" si="1"/>
        <v>86.5</v>
      </c>
      <c r="F17" s="203">
        <f t="shared" si="2"/>
        <v>281.125</v>
      </c>
      <c r="G17" s="48">
        <v>30</v>
      </c>
      <c r="H17" s="48">
        <v>56.5</v>
      </c>
      <c r="I17" s="48">
        <f>IF(D17=0," ",(G17)*(Details!$C$4+Details!$C$8))</f>
        <v>4.5000000000000009</v>
      </c>
      <c r="J17" s="203">
        <f>IF(D17=0," ",(H17)*(Details!$C$6+Details!$C$8))</f>
        <v>8.4750000000000014</v>
      </c>
      <c r="K17" s="59">
        <f t="shared" si="3"/>
        <v>97.5</v>
      </c>
      <c r="L17" s="48">
        <f t="shared" si="4"/>
        <v>183.625</v>
      </c>
      <c r="M17" s="48">
        <f t="shared" si="5"/>
        <v>14.625000000000004</v>
      </c>
      <c r="N17" s="203">
        <f t="shared" si="6"/>
        <v>27.543750000000003</v>
      </c>
    </row>
    <row r="18" spans="1:16" s="21" customFormat="1" ht="18" x14ac:dyDescent="0.35">
      <c r="A18" s="49"/>
      <c r="B18" s="153"/>
      <c r="C18" s="146"/>
      <c r="D18" s="51"/>
      <c r="E18" s="48"/>
      <c r="F18" s="203"/>
      <c r="G18" s="48"/>
      <c r="H18" s="48"/>
      <c r="I18" s="48"/>
      <c r="J18" s="203"/>
      <c r="K18" s="59"/>
      <c r="L18" s="48"/>
      <c r="M18" s="48"/>
      <c r="N18" s="203"/>
    </row>
    <row r="19" spans="1:16" s="21" customFormat="1" ht="18" x14ac:dyDescent="0.35">
      <c r="A19" s="49">
        <v>5</v>
      </c>
      <c r="B19" s="153" t="s">
        <v>400</v>
      </c>
      <c r="C19" s="146">
        <v>104.2</v>
      </c>
      <c r="D19" s="51" t="s">
        <v>10</v>
      </c>
      <c r="E19" s="48">
        <f t="shared" si="1"/>
        <v>82.4</v>
      </c>
      <c r="F19" s="203">
        <f t="shared" si="2"/>
        <v>8586.08</v>
      </c>
      <c r="G19" s="48">
        <v>30</v>
      </c>
      <c r="H19" s="48">
        <v>52.4</v>
      </c>
      <c r="I19" s="48">
        <f>IF(D19=0," ",(G19)*(Details!$C$4+Details!$C$8))</f>
        <v>4.5000000000000009</v>
      </c>
      <c r="J19" s="203">
        <f>IF(D19=0," ",(H19)*(Details!$C$6+Details!$C$8))</f>
        <v>7.8600000000000012</v>
      </c>
      <c r="K19" s="59">
        <f t="shared" si="3"/>
        <v>3126</v>
      </c>
      <c r="L19" s="48">
        <f t="shared" si="4"/>
        <v>5460.08</v>
      </c>
      <c r="M19" s="48">
        <f t="shared" si="5"/>
        <v>468.90000000000009</v>
      </c>
      <c r="N19" s="203">
        <f t="shared" si="6"/>
        <v>819.01200000000017</v>
      </c>
    </row>
    <row r="20" spans="1:16" s="21" customFormat="1" ht="18" x14ac:dyDescent="0.35">
      <c r="A20" s="75"/>
      <c r="B20" s="153"/>
      <c r="C20" s="171"/>
      <c r="D20" s="51"/>
      <c r="E20" s="48"/>
      <c r="F20" s="203"/>
      <c r="G20" s="59"/>
      <c r="H20" s="48"/>
      <c r="I20" s="48"/>
      <c r="J20" s="203" t="str">
        <f>IF(D20=0," ",(G20+H20)*(Details!$C$4+Details!$C$6))</f>
        <v xml:space="preserve"> </v>
      </c>
      <c r="K20" s="218"/>
      <c r="L20" s="20"/>
      <c r="M20" s="20"/>
      <c r="N20" s="203"/>
      <c r="P20" s="72" t="s">
        <v>142</v>
      </c>
    </row>
    <row r="21" spans="1:16" s="21" customFormat="1" ht="18.600000000000001" thickBot="1" x14ac:dyDescent="0.4">
      <c r="A21" s="75"/>
      <c r="B21" s="164"/>
      <c r="C21" s="146"/>
      <c r="D21" s="60"/>
      <c r="E21" s="62" t="s">
        <v>115</v>
      </c>
      <c r="F21" s="204">
        <f>SUM(F1:F20)</f>
        <v>14521.326499999999</v>
      </c>
      <c r="G21" s="59"/>
      <c r="H21" s="48"/>
      <c r="I21" s="48"/>
      <c r="J21" s="203" t="str">
        <f>IF(D21=0," ",(G21+H21)*(Details!$C$4+Details!$C$6))</f>
        <v xml:space="preserve"> </v>
      </c>
      <c r="K21" s="252">
        <f>SUM(K1:K20)</f>
        <v>5171.8955000000005</v>
      </c>
      <c r="L21" s="253">
        <f>SUM(L1:L20)</f>
        <v>9349.4310000000005</v>
      </c>
      <c r="M21" s="253">
        <f>SUM(M1:M20)</f>
        <v>775.78432500000008</v>
      </c>
      <c r="N21" s="204">
        <f>SUM(N1:N20)</f>
        <v>1402.4146500000002</v>
      </c>
      <c r="O21" s="55"/>
      <c r="P21" s="72">
        <f>+F21-K21-L21-N21-M21</f>
        <v>-2178.1989750000021</v>
      </c>
    </row>
    <row r="22" spans="1:16" s="21" customFormat="1" ht="19.2" thickTop="1" thickBot="1" x14ac:dyDescent="0.4">
      <c r="A22" s="165" t="str">
        <f>IF(F22&lt;&gt;"",(LARGE(A$7:A21,1)+1),"")</f>
        <v/>
      </c>
      <c r="B22" s="166"/>
      <c r="C22" s="159"/>
      <c r="D22" s="63"/>
      <c r="E22" s="65"/>
      <c r="F22" s="67"/>
      <c r="G22" s="66"/>
      <c r="H22" s="65"/>
      <c r="I22" s="65"/>
      <c r="J22" s="67" t="str">
        <f>IF(D22=0," ",(G22+H22)*(Details!$C$4+Details!$C$6))</f>
        <v xml:space="preserve"> </v>
      </c>
      <c r="K22" s="231"/>
      <c r="L22" s="231"/>
      <c r="M22" s="231"/>
      <c r="N22" s="191"/>
      <c r="O22" s="55"/>
    </row>
    <row r="23" spans="1:16" x14ac:dyDescent="0.3">
      <c r="J23" s="16"/>
    </row>
    <row r="24" spans="1:16" x14ac:dyDescent="0.3">
      <c r="J24" s="16"/>
    </row>
  </sheetData>
  <mergeCells count="2">
    <mergeCell ref="G5:J5"/>
    <mergeCell ref="K5:N5"/>
  </mergeCells>
  <conditionalFormatting sqref="G8:G10517">
    <cfRule type="notContainsBlanks" dxfId="41" priority="1">
      <formula>LEN(TRIM(G8))&gt;0</formula>
    </cfRule>
  </conditionalFormatting>
  <conditionalFormatting sqref="H11:H19 H20:I10417">
    <cfRule type="notContainsBlanks" dxfId="40" priority="4">
      <formula>LEN(TRIM(H11))&gt;0</formula>
    </cfRule>
  </conditionalFormatting>
  <conditionalFormatting sqref="H8:I10">
    <cfRule type="notContainsBlanks" dxfId="39" priority="11">
      <formula>LEN(TRIM(H8))&gt;0</formula>
    </cfRule>
  </conditionalFormatting>
  <conditionalFormatting sqref="P21">
    <cfRule type="cellIs" dxfId="38" priority="7" operator="equal">
      <formula>0</formula>
    </cfRule>
    <cfRule type="cellIs" dxfId="37" priority="8" operator="notBetween">
      <formula>-0.01</formula>
      <formula>0.01</formula>
    </cfRule>
  </conditionalFormatting>
  <printOptions horizontalCentered="1"/>
  <pageMargins left="0.70866141732283461" right="0.70866141732283461" top="0.31496062992125984" bottom="0.55118110236220474" header="0.31496062992125984" footer="0.31496062992125984"/>
  <pageSetup paperSize="9" scale="62" fitToHeight="0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5">
    <pageSetUpPr fitToPage="1"/>
  </sheetPr>
  <dimension ref="A1:P21"/>
  <sheetViews>
    <sheetView zoomScale="75" zoomScaleNormal="55" workbookViewId="0">
      <selection activeCell="E11" sqref="E11:F11"/>
    </sheetView>
  </sheetViews>
  <sheetFormatPr defaultColWidth="9.109375" defaultRowHeight="15.6" x14ac:dyDescent="0.3"/>
  <cols>
    <col min="1" max="1" width="5.44140625" style="16" customWidth="1"/>
    <col min="2" max="2" width="80.77734375" style="21" customWidth="1"/>
    <col min="3" max="3" width="12.44140625" style="28" customWidth="1"/>
    <col min="4" max="4" width="8.6640625" style="16" customWidth="1"/>
    <col min="5" max="6" width="15.6640625" style="20" customWidth="1"/>
    <col min="7" max="10" width="14.33203125" style="20" customWidth="1"/>
    <col min="11" max="13" width="15.6640625" style="20" customWidth="1"/>
    <col min="14" max="14" width="15.6640625" style="16" customWidth="1"/>
    <col min="15" max="16384" width="9.109375" style="16"/>
  </cols>
  <sheetData>
    <row r="1" spans="1:14" x14ac:dyDescent="0.3">
      <c r="A1" s="29"/>
      <c r="B1" s="23"/>
      <c r="C1" s="30"/>
      <c r="D1" s="24"/>
      <c r="E1" s="33"/>
      <c r="F1" s="34"/>
      <c r="G1" s="33"/>
      <c r="H1" s="33"/>
      <c r="I1" s="33"/>
      <c r="J1" s="24"/>
    </row>
    <row r="2" spans="1:14" x14ac:dyDescent="0.3">
      <c r="A2" s="15"/>
      <c r="B2" s="3" t="str">
        <f>+'Qual, Excl &amp; Assum'!B2</f>
        <v>PROJECT: Mr &amp; Mrs Hawkes-Cowands House</v>
      </c>
      <c r="F2" s="35"/>
      <c r="J2" s="16"/>
    </row>
    <row r="3" spans="1:14" x14ac:dyDescent="0.3">
      <c r="A3" s="15"/>
      <c r="B3" s="53" t="str">
        <f>+'Qual, Excl &amp; Assum'!B3</f>
        <v>DATE: 25TH SEPTEMBER 2025</v>
      </c>
      <c r="F3" s="35"/>
      <c r="J3" s="16"/>
    </row>
    <row r="4" spans="1:14" s="21" customFormat="1" ht="16.2" thickBot="1" x14ac:dyDescent="0.35">
      <c r="A4" s="15"/>
      <c r="B4" s="22"/>
      <c r="C4" s="28"/>
      <c r="E4" s="36"/>
      <c r="F4" s="37"/>
      <c r="G4" s="36"/>
      <c r="H4" s="36"/>
      <c r="I4" s="36"/>
      <c r="K4" s="20"/>
      <c r="L4" s="20"/>
      <c r="M4" s="20"/>
    </row>
    <row r="5" spans="1:14" s="21" customFormat="1" ht="38.25" customHeight="1" thickBot="1" x14ac:dyDescent="0.35">
      <c r="A5" s="210"/>
      <c r="B5" s="211" t="s">
        <v>73</v>
      </c>
      <c r="C5" s="215"/>
      <c r="D5" s="213"/>
      <c r="E5" s="214"/>
      <c r="F5" s="220"/>
      <c r="G5" s="371" t="s">
        <v>138</v>
      </c>
      <c r="H5" s="371"/>
      <c r="I5" s="371"/>
      <c r="J5" s="371"/>
      <c r="K5" s="370" t="s">
        <v>139</v>
      </c>
      <c r="L5" s="371"/>
      <c r="M5" s="371"/>
      <c r="N5" s="372"/>
    </row>
    <row r="6" spans="1:14" s="21" customFormat="1" ht="18" x14ac:dyDescent="0.35">
      <c r="A6" s="49"/>
      <c r="B6" s="38"/>
      <c r="C6" s="52"/>
      <c r="D6" s="38"/>
      <c r="E6" s="64"/>
      <c r="F6" s="201"/>
      <c r="G6" s="64"/>
      <c r="H6" s="64"/>
      <c r="I6" s="64"/>
      <c r="J6" s="38"/>
      <c r="K6" s="218"/>
      <c r="L6" s="20"/>
      <c r="M6" s="20"/>
      <c r="N6" s="27"/>
    </row>
    <row r="7" spans="1:14" s="21" customFormat="1" ht="18" x14ac:dyDescent="0.35">
      <c r="A7" s="49"/>
      <c r="B7" s="3" t="s">
        <v>3</v>
      </c>
      <c r="C7" s="263" t="s">
        <v>8</v>
      </c>
      <c r="D7" s="264" t="s">
        <v>2</v>
      </c>
      <c r="E7" s="54" t="s">
        <v>1</v>
      </c>
      <c r="F7" s="265" t="s">
        <v>0</v>
      </c>
      <c r="G7" s="266" t="s">
        <v>34</v>
      </c>
      <c r="H7" s="266" t="s">
        <v>35</v>
      </c>
      <c r="I7" s="266" t="s">
        <v>177</v>
      </c>
      <c r="J7" s="267" t="s">
        <v>178</v>
      </c>
      <c r="K7" s="266" t="s">
        <v>34</v>
      </c>
      <c r="L7" s="266" t="s">
        <v>35</v>
      </c>
      <c r="M7" s="266" t="s">
        <v>177</v>
      </c>
      <c r="N7" s="267" t="s">
        <v>178</v>
      </c>
    </row>
    <row r="8" spans="1:14" s="21" customFormat="1" ht="18" x14ac:dyDescent="0.35">
      <c r="A8" s="49"/>
      <c r="B8" s="160"/>
      <c r="C8" s="149"/>
      <c r="D8" s="61"/>
      <c r="E8" s="62"/>
      <c r="F8" s="202"/>
      <c r="G8" s="59"/>
      <c r="H8" s="48"/>
      <c r="I8" s="48"/>
      <c r="J8" s="61"/>
      <c r="K8" s="218"/>
      <c r="L8" s="20"/>
      <c r="M8" s="20"/>
      <c r="N8" s="203" t="str">
        <f t="shared" ref="N8" si="0">IF(D8=0," ",(J8*C8))</f>
        <v xml:space="preserve"> </v>
      </c>
    </row>
    <row r="9" spans="1:14" s="21" customFormat="1" ht="18" x14ac:dyDescent="0.35">
      <c r="A9" s="49"/>
      <c r="B9" s="170" t="s">
        <v>149</v>
      </c>
      <c r="C9" s="146"/>
      <c r="D9" s="60"/>
      <c r="E9" s="48"/>
      <c r="F9" s="203"/>
      <c r="G9" s="59"/>
      <c r="H9" s="48"/>
      <c r="I9" s="48"/>
      <c r="J9" s="48"/>
      <c r="K9" s="218"/>
      <c r="L9" s="20"/>
      <c r="M9" s="20"/>
      <c r="N9" s="203"/>
    </row>
    <row r="10" spans="1:14" s="21" customFormat="1" ht="18" x14ac:dyDescent="0.35">
      <c r="A10" s="49"/>
      <c r="B10" s="170"/>
      <c r="C10" s="146"/>
      <c r="D10" s="60"/>
      <c r="E10" s="48"/>
      <c r="F10" s="203"/>
      <c r="G10" s="59"/>
      <c r="H10" s="48"/>
      <c r="I10" s="48"/>
      <c r="J10" s="48"/>
      <c r="K10" s="218"/>
      <c r="L10" s="20"/>
      <c r="M10" s="20"/>
      <c r="N10" s="203"/>
    </row>
    <row r="11" spans="1:14" s="21" customFormat="1" ht="18" x14ac:dyDescent="0.35">
      <c r="A11" s="49">
        <v>1</v>
      </c>
      <c r="B11" s="153" t="s">
        <v>230</v>
      </c>
      <c r="C11" s="146">
        <v>24</v>
      </c>
      <c r="D11" s="51" t="s">
        <v>10</v>
      </c>
      <c r="E11" s="48">
        <f>G11+H11</f>
        <v>85.3</v>
      </c>
      <c r="F11" s="203">
        <f>E11*C11</f>
        <v>2047.1999999999998</v>
      </c>
      <c r="G11" s="48">
        <v>26.5</v>
      </c>
      <c r="H11" s="48">
        <v>58.8</v>
      </c>
      <c r="I11" s="48">
        <f>IF(D11=0," ",(G11)*(Details!$C$4+Details!$C$8))</f>
        <v>3.9750000000000005</v>
      </c>
      <c r="J11" s="203">
        <f>IF(D11=0," ",(H11)*(Details!$C$6+Details!$C$8))</f>
        <v>8.82</v>
      </c>
      <c r="K11" s="59">
        <f>+G11*C11</f>
        <v>636</v>
      </c>
      <c r="L11" s="48">
        <f>+H11*C11</f>
        <v>1411.1999999999998</v>
      </c>
      <c r="M11" s="48">
        <f>IF(D11=0," ",(I11*C11))</f>
        <v>95.4</v>
      </c>
      <c r="N11" s="203">
        <f>IF(D11=0," ",(J11*C11))</f>
        <v>211.68</v>
      </c>
    </row>
    <row r="12" spans="1:14" s="21" customFormat="1" ht="18" x14ac:dyDescent="0.35">
      <c r="A12" s="49"/>
      <c r="B12" s="153"/>
      <c r="C12" s="203"/>
      <c r="D12" s="51"/>
      <c r="E12" s="48"/>
      <c r="F12" s="203"/>
      <c r="G12" s="59"/>
      <c r="H12" s="48"/>
      <c r="I12" s="48"/>
      <c r="J12" s="203"/>
      <c r="K12" s="218"/>
      <c r="L12" s="20"/>
      <c r="M12" s="20"/>
      <c r="N12" s="203"/>
    </row>
    <row r="13" spans="1:14" s="21" customFormat="1" ht="18" x14ac:dyDescent="0.35">
      <c r="A13" s="75"/>
      <c r="B13" s="153"/>
      <c r="C13" s="146"/>
      <c r="D13" s="51"/>
      <c r="E13" s="48"/>
      <c r="F13" s="203"/>
      <c r="G13" s="59"/>
      <c r="H13" s="48"/>
      <c r="I13" s="48"/>
      <c r="J13" s="203"/>
      <c r="K13" s="218"/>
      <c r="L13" s="20"/>
      <c r="M13" s="20"/>
      <c r="N13" s="203"/>
    </row>
    <row r="14" spans="1:14" s="21" customFormat="1" ht="18" x14ac:dyDescent="0.35">
      <c r="A14" s="75" t="str">
        <f>IF(F14&lt;&gt;"",(LARGE(A$7:A13,1)+1),"")</f>
        <v/>
      </c>
      <c r="B14" s="153"/>
      <c r="C14" s="146"/>
      <c r="D14" s="51"/>
      <c r="E14" s="48"/>
      <c r="F14" s="203"/>
      <c r="G14" s="59"/>
      <c r="H14" s="48"/>
      <c r="I14" s="48"/>
      <c r="J14" s="203"/>
      <c r="K14" s="218"/>
      <c r="L14" s="20"/>
      <c r="M14" s="20"/>
      <c r="N14" s="203"/>
    </row>
    <row r="15" spans="1:14" s="21" customFormat="1" ht="18" x14ac:dyDescent="0.35">
      <c r="A15" s="75" t="str">
        <f>IF(F15&lt;&gt;"",(LARGE(A$7:A14,1)+1),"")</f>
        <v/>
      </c>
      <c r="B15" s="153"/>
      <c r="C15" s="146"/>
      <c r="D15" s="51"/>
      <c r="E15" s="48"/>
      <c r="F15" s="203"/>
      <c r="G15" s="59"/>
      <c r="H15" s="48"/>
      <c r="I15" s="48"/>
      <c r="J15" s="203"/>
      <c r="K15" s="218"/>
      <c r="L15" s="20"/>
      <c r="M15" s="20"/>
      <c r="N15" s="203"/>
    </row>
    <row r="16" spans="1:14" s="21" customFormat="1" ht="18" x14ac:dyDescent="0.35">
      <c r="A16" s="75" t="str">
        <f>IF(F16&lt;&gt;"",(LARGE(A$7:A15,1)+1),"")</f>
        <v/>
      </c>
      <c r="B16" s="38"/>
      <c r="C16" s="146"/>
      <c r="D16" s="51"/>
      <c r="E16" s="48"/>
      <c r="F16" s="203"/>
      <c r="G16" s="59"/>
      <c r="H16" s="48"/>
      <c r="I16" s="48"/>
      <c r="J16" s="203"/>
      <c r="K16" s="218"/>
      <c r="L16" s="20"/>
      <c r="M16" s="20"/>
      <c r="N16" s="203"/>
    </row>
    <row r="17" spans="1:16" s="21" customFormat="1" ht="18" x14ac:dyDescent="0.35">
      <c r="A17" s="75" t="str">
        <f>IF(F17&lt;&gt;"",(LARGE(A$7:A16,1)+1),"")</f>
        <v/>
      </c>
      <c r="B17" s="153"/>
      <c r="C17" s="52"/>
      <c r="D17" s="51"/>
      <c r="E17" s="48"/>
      <c r="F17" s="203"/>
      <c r="G17" s="59"/>
      <c r="H17" s="48"/>
      <c r="I17" s="48"/>
      <c r="J17" s="203"/>
      <c r="K17" s="218"/>
      <c r="L17" s="20"/>
      <c r="M17" s="20"/>
      <c r="N17" s="203"/>
      <c r="P17" s="72" t="s">
        <v>142</v>
      </c>
    </row>
    <row r="18" spans="1:16" s="21" customFormat="1" ht="18.600000000000001" thickBot="1" x14ac:dyDescent="0.4">
      <c r="A18" s="75"/>
      <c r="B18" s="164"/>
      <c r="C18" s="52"/>
      <c r="D18" s="60"/>
      <c r="E18" s="62" t="s">
        <v>115</v>
      </c>
      <c r="F18" s="204">
        <f>SUM(F1:F17)</f>
        <v>2047.1999999999998</v>
      </c>
      <c r="G18" s="59"/>
      <c r="H18" s="48"/>
      <c r="I18" s="48"/>
      <c r="J18" s="203" t="str">
        <f>IF(D18=0," ",(G18+H18)*(Details!$C$4+Details!$C$6))</f>
        <v xml:space="preserve"> </v>
      </c>
      <c r="K18" s="252">
        <f>SUM(K1:K17)</f>
        <v>636</v>
      </c>
      <c r="L18" s="253">
        <f>SUM(L1:L17)</f>
        <v>1411.1999999999998</v>
      </c>
      <c r="M18" s="253">
        <f>SUM(M1:M17)</f>
        <v>95.4</v>
      </c>
      <c r="N18" s="204">
        <f>SUM(N1:N17)</f>
        <v>211.68</v>
      </c>
      <c r="O18" s="55"/>
      <c r="P18" s="72">
        <f>+F18-K18-L18-N18-M18</f>
        <v>-307.08000000000004</v>
      </c>
    </row>
    <row r="19" spans="1:16" s="21" customFormat="1" ht="19.2" thickTop="1" thickBot="1" x14ac:dyDescent="0.4">
      <c r="A19" s="165" t="str">
        <f>IF(F19&lt;&gt;"",(LARGE(A$7:A18,1)+1),"")</f>
        <v/>
      </c>
      <c r="B19" s="166"/>
      <c r="C19" s="167"/>
      <c r="D19" s="63"/>
      <c r="E19" s="65"/>
      <c r="F19" s="67"/>
      <c r="G19" s="66"/>
      <c r="H19" s="65"/>
      <c r="I19" s="65"/>
      <c r="J19" s="67" t="str">
        <f>IF(D19=0," ",(G19+H19)*(Details!$C$4+Details!$C$6))</f>
        <v xml:space="preserve"> </v>
      </c>
      <c r="K19" s="231"/>
      <c r="L19" s="231"/>
      <c r="M19" s="231"/>
      <c r="N19" s="191"/>
      <c r="O19" s="55"/>
    </row>
    <row r="20" spans="1:16" x14ac:dyDescent="0.3">
      <c r="J20" s="16"/>
    </row>
    <row r="21" spans="1:16" x14ac:dyDescent="0.3">
      <c r="J21" s="16"/>
    </row>
  </sheetData>
  <mergeCells count="2">
    <mergeCell ref="G5:J5"/>
    <mergeCell ref="K5:N5"/>
  </mergeCells>
  <conditionalFormatting sqref="G8:G10514">
    <cfRule type="notContainsBlanks" dxfId="36" priority="1">
      <formula>LEN(TRIM(G8))&gt;0</formula>
    </cfRule>
  </conditionalFormatting>
  <conditionalFormatting sqref="H11 H12:I10514">
    <cfRule type="notContainsBlanks" dxfId="35" priority="6">
      <formula>LEN(TRIM(H11))&gt;0</formula>
    </cfRule>
  </conditionalFormatting>
  <conditionalFormatting sqref="H8:I10">
    <cfRule type="notContainsBlanks" dxfId="34" priority="11">
      <formula>LEN(TRIM(H8))&gt;0</formula>
    </cfRule>
  </conditionalFormatting>
  <conditionalFormatting sqref="P18">
    <cfRule type="cellIs" dxfId="33" priority="7" operator="equal">
      <formula>0</formula>
    </cfRule>
    <cfRule type="cellIs" dxfId="32" priority="8" operator="notBetween">
      <formula>-0.01</formula>
      <formula>0.01</formula>
    </cfRule>
  </conditionalFormatting>
  <printOptions horizontalCentered="1"/>
  <pageMargins left="0.70866141732283461" right="0.70866141732283461" top="0.31496062992125984" bottom="0.55118110236220474" header="0.31496062992125984" footer="0.31496062992125984"/>
  <pageSetup paperSize="9" scale="62" fitToHeight="0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6">
    <pageSetUpPr fitToPage="1"/>
  </sheetPr>
  <dimension ref="A1:P61"/>
  <sheetViews>
    <sheetView zoomScale="86" zoomScaleNormal="55" workbookViewId="0">
      <selection activeCell="E10" sqref="E10:F10"/>
    </sheetView>
  </sheetViews>
  <sheetFormatPr defaultColWidth="9.109375" defaultRowHeight="15.6" x14ac:dyDescent="0.3"/>
  <cols>
    <col min="1" max="1" width="5.44140625" style="16" customWidth="1"/>
    <col min="2" max="2" width="80.77734375" style="21" customWidth="1"/>
    <col min="3" max="3" width="12.44140625" style="28" customWidth="1"/>
    <col min="4" max="4" width="8.6640625" style="16" customWidth="1"/>
    <col min="5" max="6" width="15.6640625" style="20" customWidth="1"/>
    <col min="7" max="10" width="14.33203125" style="20" customWidth="1"/>
    <col min="11" max="13" width="15.6640625" style="20" customWidth="1"/>
    <col min="14" max="14" width="15.6640625" style="16" customWidth="1"/>
    <col min="15" max="16384" width="9.109375" style="16"/>
  </cols>
  <sheetData>
    <row r="1" spans="1:14" x14ac:dyDescent="0.3">
      <c r="A1" s="29"/>
      <c r="B1" s="23"/>
      <c r="C1" s="30"/>
      <c r="D1" s="24"/>
      <c r="E1" s="33"/>
      <c r="F1" s="34"/>
      <c r="G1" s="82"/>
      <c r="H1" s="33"/>
      <c r="I1" s="33"/>
      <c r="J1" s="24"/>
    </row>
    <row r="2" spans="1:14" x14ac:dyDescent="0.3">
      <c r="A2" s="15"/>
      <c r="B2" s="3" t="str">
        <f>+'Qual, Excl &amp; Assum'!B2</f>
        <v>PROJECT: Mr &amp; Mrs Hawkes-Cowands House</v>
      </c>
      <c r="F2" s="35"/>
      <c r="G2" s="72"/>
      <c r="J2" s="16"/>
    </row>
    <row r="3" spans="1:14" x14ac:dyDescent="0.3">
      <c r="A3" s="15"/>
      <c r="B3" s="53" t="str">
        <f>+'Qual, Excl &amp; Assum'!B3</f>
        <v>DATE: 25TH SEPTEMBER 2025</v>
      </c>
      <c r="F3" s="35"/>
      <c r="G3" s="72"/>
      <c r="J3" s="16"/>
    </row>
    <row r="4" spans="1:14" s="21" customFormat="1" ht="16.2" thickBot="1" x14ac:dyDescent="0.35">
      <c r="A4" s="15"/>
      <c r="B4" s="22"/>
      <c r="C4" s="28"/>
      <c r="E4" s="36"/>
      <c r="F4" s="37"/>
      <c r="G4" s="83"/>
      <c r="H4" s="36"/>
      <c r="I4" s="36"/>
      <c r="K4" s="20"/>
      <c r="L4" s="20"/>
      <c r="M4" s="20"/>
    </row>
    <row r="5" spans="1:14" s="21" customFormat="1" ht="38.25" customHeight="1" thickBot="1" x14ac:dyDescent="0.35">
      <c r="A5" s="210"/>
      <c r="B5" s="211" t="s">
        <v>21</v>
      </c>
      <c r="C5" s="215"/>
      <c r="D5" s="213"/>
      <c r="E5" s="214"/>
      <c r="F5" s="220"/>
      <c r="G5" s="371" t="s">
        <v>138</v>
      </c>
      <c r="H5" s="371"/>
      <c r="I5" s="371"/>
      <c r="J5" s="372"/>
      <c r="K5" s="370" t="s">
        <v>139</v>
      </c>
      <c r="L5" s="371"/>
      <c r="M5" s="371"/>
      <c r="N5" s="372"/>
    </row>
    <row r="6" spans="1:14" s="21" customFormat="1" ht="18" x14ac:dyDescent="0.35">
      <c r="A6" s="49"/>
      <c r="B6" s="38"/>
      <c r="C6" s="52"/>
      <c r="D6" s="38"/>
      <c r="E6" s="64"/>
      <c r="F6" s="201"/>
      <c r="G6" s="257"/>
      <c r="H6" s="64"/>
      <c r="I6" s="64"/>
      <c r="J6" s="206"/>
      <c r="K6" s="218"/>
      <c r="L6" s="20"/>
      <c r="M6" s="20"/>
      <c r="N6" s="27"/>
    </row>
    <row r="7" spans="1:14" s="21" customFormat="1" ht="18" x14ac:dyDescent="0.35">
      <c r="A7" s="49"/>
      <c r="B7" s="3" t="s">
        <v>3</v>
      </c>
      <c r="C7" s="263" t="s">
        <v>8</v>
      </c>
      <c r="D7" s="264" t="s">
        <v>2</v>
      </c>
      <c r="E7" s="54" t="s">
        <v>1</v>
      </c>
      <c r="F7" s="265" t="s">
        <v>0</v>
      </c>
      <c r="G7" s="266" t="s">
        <v>34</v>
      </c>
      <c r="H7" s="266" t="s">
        <v>35</v>
      </c>
      <c r="I7" s="266" t="s">
        <v>177</v>
      </c>
      <c r="J7" s="267" t="s">
        <v>178</v>
      </c>
      <c r="K7" s="266" t="s">
        <v>34</v>
      </c>
      <c r="L7" s="266" t="s">
        <v>35</v>
      </c>
      <c r="M7" s="266" t="s">
        <v>177</v>
      </c>
      <c r="N7" s="267" t="s">
        <v>178</v>
      </c>
    </row>
    <row r="8" spans="1:14" s="21" customFormat="1" ht="18" x14ac:dyDescent="0.35">
      <c r="A8" s="49"/>
      <c r="B8" s="160"/>
      <c r="C8" s="149"/>
      <c r="D8" s="61"/>
      <c r="E8" s="62"/>
      <c r="F8" s="202"/>
      <c r="G8" s="59"/>
      <c r="H8" s="48"/>
      <c r="I8" s="48"/>
      <c r="J8" s="207"/>
      <c r="K8" s="86"/>
      <c r="L8" s="20"/>
      <c r="M8" s="20"/>
      <c r="N8" s="203" t="str">
        <f t="shared" ref="N8" si="0">IF(D8=0," ",(J8*C8))</f>
        <v xml:space="preserve"> </v>
      </c>
    </row>
    <row r="9" spans="1:14" s="21" customFormat="1" ht="18" x14ac:dyDescent="0.35">
      <c r="A9" s="49"/>
      <c r="B9" s="170" t="s">
        <v>61</v>
      </c>
      <c r="C9" s="146"/>
      <c r="D9" s="60"/>
      <c r="E9" s="48"/>
      <c r="F9" s="203"/>
      <c r="G9" s="59"/>
      <c r="H9" s="48"/>
      <c r="I9" s="48"/>
      <c r="J9" s="203"/>
      <c r="K9" s="237"/>
      <c r="L9" s="20"/>
      <c r="M9" s="20"/>
      <c r="N9" s="203"/>
    </row>
    <row r="10" spans="1:14" s="21" customFormat="1" ht="18" customHeight="1" x14ac:dyDescent="0.35">
      <c r="A10" s="49">
        <v>1</v>
      </c>
      <c r="B10" s="153" t="s">
        <v>401</v>
      </c>
      <c r="C10" s="146">
        <v>6.72</v>
      </c>
      <c r="D10" s="60" t="s">
        <v>10</v>
      </c>
      <c r="E10" s="48">
        <f>G10+H10</f>
        <v>219.8</v>
      </c>
      <c r="F10" s="203">
        <f>E10*C10</f>
        <v>1477.056</v>
      </c>
      <c r="G10" s="48">
        <v>67.8</v>
      </c>
      <c r="H10" s="48">
        <v>152</v>
      </c>
      <c r="I10" s="48">
        <f>IF(D10=0," ",(G10)*(Details!$C$4+Details!$C$8))</f>
        <v>10.170000000000002</v>
      </c>
      <c r="J10" s="203">
        <f>IF(D10=0," ",(H10)*(Details!$C$6+Details!$C$8))</f>
        <v>22.800000000000004</v>
      </c>
      <c r="K10" s="59">
        <f>+G10*C10</f>
        <v>455.61599999999999</v>
      </c>
      <c r="L10" s="48">
        <f>+H10*C10</f>
        <v>1021.4399999999999</v>
      </c>
      <c r="M10" s="48">
        <f>IF(D10=0," ",(I10*C10))</f>
        <v>68.342400000000012</v>
      </c>
      <c r="N10" s="203">
        <f>IF(D10=0," ",(J10*C10))</f>
        <v>153.21600000000004</v>
      </c>
    </row>
    <row r="11" spans="1:14" s="21" customFormat="1" ht="18" customHeight="1" x14ac:dyDescent="0.35">
      <c r="A11" s="49"/>
      <c r="B11" s="170"/>
      <c r="C11" s="146"/>
      <c r="D11" s="60"/>
      <c r="E11" s="48"/>
      <c r="F11" s="203"/>
      <c r="G11" s="48"/>
      <c r="H11" s="48"/>
      <c r="I11" s="48"/>
      <c r="J11" s="203"/>
      <c r="K11" s="81"/>
      <c r="L11" s="99"/>
      <c r="M11" s="99"/>
      <c r="N11" s="203"/>
    </row>
    <row r="12" spans="1:14" s="21" customFormat="1" ht="18" x14ac:dyDescent="0.35">
      <c r="A12" s="75">
        <f>IF(F12&lt;&gt;"",(LARGE(A$7:A10,1)+1),"")</f>
        <v>2</v>
      </c>
      <c r="B12" s="153" t="s">
        <v>402</v>
      </c>
      <c r="C12" s="146">
        <v>1</v>
      </c>
      <c r="D12" s="51" t="s">
        <v>12</v>
      </c>
      <c r="E12" s="48">
        <f t="shared" ref="E12:E22" si="1">G12+H12</f>
        <v>940</v>
      </c>
      <c r="F12" s="203">
        <f t="shared" ref="F12:F22" si="2">E12*C12</f>
        <v>940</v>
      </c>
      <c r="G12" s="48">
        <v>160</v>
      </c>
      <c r="H12" s="48">
        <v>780</v>
      </c>
      <c r="I12" s="48">
        <f>IF(D12=0," ",(G12)*(Details!$C$4+Details!$C$8))</f>
        <v>24.000000000000004</v>
      </c>
      <c r="J12" s="203">
        <f>IF(D12=0," ",(H12)*(Details!$C$6+Details!$C$8))</f>
        <v>117.00000000000001</v>
      </c>
      <c r="K12" s="59">
        <f>+G12*C12</f>
        <v>160</v>
      </c>
      <c r="L12" s="48">
        <f>+H12*C12</f>
        <v>780</v>
      </c>
      <c r="M12" s="48">
        <f>IF(D12=0," ",(I12*C12))</f>
        <v>24.000000000000004</v>
      </c>
      <c r="N12" s="203">
        <f>IF(D12=0," ",(J12*C12))</f>
        <v>117.00000000000001</v>
      </c>
    </row>
    <row r="13" spans="1:14" s="21" customFormat="1" ht="18" x14ac:dyDescent="0.35">
      <c r="A13" s="75"/>
      <c r="B13" s="153"/>
      <c r="C13" s="146"/>
      <c r="D13" s="51"/>
      <c r="E13" s="48"/>
      <c r="F13" s="203"/>
      <c r="G13" s="48"/>
      <c r="H13" s="48"/>
      <c r="I13" s="48"/>
      <c r="J13" s="203"/>
      <c r="K13" s="59"/>
      <c r="L13" s="48"/>
      <c r="M13" s="48"/>
      <c r="N13" s="203"/>
    </row>
    <row r="14" spans="1:14" s="21" customFormat="1" ht="18" x14ac:dyDescent="0.35">
      <c r="A14" s="75">
        <v>3</v>
      </c>
      <c r="B14" s="153" t="s">
        <v>403</v>
      </c>
      <c r="C14" s="146">
        <v>1</v>
      </c>
      <c r="D14" s="51" t="s">
        <v>12</v>
      </c>
      <c r="E14" s="48">
        <f t="shared" si="1"/>
        <v>860</v>
      </c>
      <c r="F14" s="203">
        <f t="shared" si="2"/>
        <v>860</v>
      </c>
      <c r="G14" s="48">
        <v>140</v>
      </c>
      <c r="H14" s="48">
        <v>720</v>
      </c>
      <c r="I14" s="48">
        <f>IF(D14=0," ",(G14)*(Details!$C$4+Details!$C$8))</f>
        <v>21.000000000000004</v>
      </c>
      <c r="J14" s="203">
        <f>IF(D14=0," ",(H14)*(Details!$C$6+Details!$C$8))</f>
        <v>108.00000000000001</v>
      </c>
      <c r="K14" s="59">
        <f t="shared" ref="K14:K22" si="3">+G14*C14</f>
        <v>140</v>
      </c>
      <c r="L14" s="48">
        <f t="shared" ref="L14:L22" si="4">+H14*C14</f>
        <v>720</v>
      </c>
      <c r="M14" s="48">
        <f t="shared" ref="M14:M22" si="5">IF(D14=0," ",(I14*C14))</f>
        <v>21.000000000000004</v>
      </c>
      <c r="N14" s="203">
        <f t="shared" ref="N14:N22" si="6">IF(D14=0," ",(J14*C14))</f>
        <v>108.00000000000001</v>
      </c>
    </row>
    <row r="15" spans="1:14" s="21" customFormat="1" ht="18" x14ac:dyDescent="0.35">
      <c r="A15" s="75"/>
      <c r="B15" s="153"/>
      <c r="C15" s="146"/>
      <c r="D15" s="51"/>
      <c r="E15" s="48"/>
      <c r="F15" s="203"/>
      <c r="G15" s="48"/>
      <c r="H15" s="48"/>
      <c r="I15" s="48"/>
      <c r="J15" s="203"/>
      <c r="K15" s="59"/>
      <c r="L15" s="48"/>
      <c r="M15" s="48"/>
      <c r="N15" s="203"/>
    </row>
    <row r="16" spans="1:14" s="21" customFormat="1" ht="18" x14ac:dyDescent="0.35">
      <c r="A16" s="75">
        <v>4</v>
      </c>
      <c r="B16" s="153" t="s">
        <v>404</v>
      </c>
      <c r="C16" s="146">
        <v>1</v>
      </c>
      <c r="D16" s="51" t="s">
        <v>12</v>
      </c>
      <c r="E16" s="48">
        <f t="shared" si="1"/>
        <v>900</v>
      </c>
      <c r="F16" s="203">
        <f t="shared" si="2"/>
        <v>900</v>
      </c>
      <c r="G16" s="48">
        <v>160</v>
      </c>
      <c r="H16" s="48">
        <v>740</v>
      </c>
      <c r="I16" s="48">
        <f>IF(D16=0," ",(G16)*(Details!$C$4+Details!$C$8))</f>
        <v>24.000000000000004</v>
      </c>
      <c r="J16" s="203">
        <f>IF(D16=0," ",(H16)*(Details!$C$6+Details!$C$8))</f>
        <v>111.00000000000001</v>
      </c>
      <c r="K16" s="59">
        <f t="shared" si="3"/>
        <v>160</v>
      </c>
      <c r="L16" s="48">
        <f t="shared" si="4"/>
        <v>740</v>
      </c>
      <c r="M16" s="48">
        <f t="shared" si="5"/>
        <v>24.000000000000004</v>
      </c>
      <c r="N16" s="203">
        <f t="shared" si="6"/>
        <v>111.00000000000001</v>
      </c>
    </row>
    <row r="17" spans="1:14" s="21" customFormat="1" ht="18" x14ac:dyDescent="0.35">
      <c r="A17" s="75"/>
      <c r="B17" s="153"/>
      <c r="C17" s="146"/>
      <c r="D17" s="51"/>
      <c r="E17" s="48"/>
      <c r="F17" s="203"/>
      <c r="G17" s="48"/>
      <c r="H17" s="48"/>
      <c r="I17" s="48"/>
      <c r="J17" s="203"/>
      <c r="K17" s="59"/>
      <c r="L17" s="48"/>
      <c r="M17" s="48"/>
      <c r="N17" s="203"/>
    </row>
    <row r="18" spans="1:14" s="21" customFormat="1" ht="18" x14ac:dyDescent="0.35">
      <c r="A18" s="75">
        <v>5</v>
      </c>
      <c r="B18" s="153" t="s">
        <v>405</v>
      </c>
      <c r="C18" s="146">
        <v>1</v>
      </c>
      <c r="D18" s="51" t="s">
        <v>12</v>
      </c>
      <c r="E18" s="48">
        <f t="shared" si="1"/>
        <v>1100</v>
      </c>
      <c r="F18" s="203">
        <f t="shared" si="2"/>
        <v>1100</v>
      </c>
      <c r="G18" s="48">
        <v>180</v>
      </c>
      <c r="H18" s="48">
        <v>920</v>
      </c>
      <c r="I18" s="48">
        <f>IF(D18=0," ",(G18)*(Details!$C$4+Details!$C$8))</f>
        <v>27.000000000000004</v>
      </c>
      <c r="J18" s="203">
        <f>IF(D18=0," ",(H18)*(Details!$C$6+Details!$C$8))</f>
        <v>138.00000000000003</v>
      </c>
      <c r="K18" s="59">
        <f t="shared" si="3"/>
        <v>180</v>
      </c>
      <c r="L18" s="48">
        <f t="shared" si="4"/>
        <v>920</v>
      </c>
      <c r="M18" s="48">
        <f t="shared" si="5"/>
        <v>27.000000000000004</v>
      </c>
      <c r="N18" s="203">
        <f t="shared" si="6"/>
        <v>138.00000000000003</v>
      </c>
    </row>
    <row r="19" spans="1:14" s="21" customFormat="1" ht="18" x14ac:dyDescent="0.35">
      <c r="A19" s="75"/>
      <c r="B19" s="153"/>
      <c r="C19" s="146"/>
      <c r="D19" s="51"/>
      <c r="E19" s="48"/>
      <c r="F19" s="203"/>
      <c r="G19" s="48"/>
      <c r="H19" s="48"/>
      <c r="I19" s="48"/>
      <c r="J19" s="203"/>
      <c r="K19" s="59"/>
      <c r="L19" s="48"/>
      <c r="M19" s="48"/>
      <c r="N19" s="203"/>
    </row>
    <row r="20" spans="1:14" s="21" customFormat="1" ht="18" x14ac:dyDescent="0.35">
      <c r="A20" s="75">
        <v>6</v>
      </c>
      <c r="B20" s="153" t="s">
        <v>406</v>
      </c>
      <c r="C20" s="146">
        <v>1</v>
      </c>
      <c r="D20" s="51" t="s">
        <v>12</v>
      </c>
      <c r="E20" s="48">
        <f t="shared" si="1"/>
        <v>1020</v>
      </c>
      <c r="F20" s="203">
        <f t="shared" si="2"/>
        <v>1020</v>
      </c>
      <c r="G20" s="48">
        <v>160</v>
      </c>
      <c r="H20" s="48">
        <v>860</v>
      </c>
      <c r="I20" s="48">
        <f>IF(D20=0," ",(G20)*(Details!$C$4+Details!$C$8))</f>
        <v>24.000000000000004</v>
      </c>
      <c r="J20" s="203">
        <f>IF(D20=0," ",(H20)*(Details!$C$6+Details!$C$8))</f>
        <v>129.00000000000003</v>
      </c>
      <c r="K20" s="59">
        <f t="shared" si="3"/>
        <v>160</v>
      </c>
      <c r="L20" s="48">
        <f t="shared" si="4"/>
        <v>860</v>
      </c>
      <c r="M20" s="48">
        <f t="shared" si="5"/>
        <v>24.000000000000004</v>
      </c>
      <c r="N20" s="203">
        <f t="shared" si="6"/>
        <v>129.00000000000003</v>
      </c>
    </row>
    <row r="21" spans="1:14" s="21" customFormat="1" ht="18" x14ac:dyDescent="0.35">
      <c r="A21" s="75"/>
      <c r="B21" s="153"/>
      <c r="C21" s="146"/>
      <c r="D21" s="51"/>
      <c r="E21" s="48"/>
      <c r="F21" s="203"/>
      <c r="G21" s="48"/>
      <c r="H21" s="48"/>
      <c r="I21" s="48"/>
      <c r="J21" s="203"/>
      <c r="K21" s="59"/>
      <c r="L21" s="48"/>
      <c r="M21" s="48"/>
      <c r="N21" s="203"/>
    </row>
    <row r="22" spans="1:14" s="21" customFormat="1" ht="18" x14ac:dyDescent="0.35">
      <c r="A22" s="75">
        <v>7</v>
      </c>
      <c r="B22" s="153" t="s">
        <v>407</v>
      </c>
      <c r="C22" s="146">
        <v>1</v>
      </c>
      <c r="D22" s="51" t="s">
        <v>12</v>
      </c>
      <c r="E22" s="48">
        <f t="shared" si="1"/>
        <v>960</v>
      </c>
      <c r="F22" s="203">
        <f t="shared" si="2"/>
        <v>960</v>
      </c>
      <c r="G22" s="48">
        <v>140</v>
      </c>
      <c r="H22" s="48">
        <v>820</v>
      </c>
      <c r="I22" s="48">
        <f>IF(D22=0," ",(G22)*(Details!$C$4+Details!$C$8))</f>
        <v>21.000000000000004</v>
      </c>
      <c r="J22" s="203">
        <f>IF(D22=0," ",(H22)*(Details!$C$6+Details!$C$8))</f>
        <v>123.00000000000001</v>
      </c>
      <c r="K22" s="59">
        <f t="shared" si="3"/>
        <v>140</v>
      </c>
      <c r="L22" s="48">
        <f t="shared" si="4"/>
        <v>820</v>
      </c>
      <c r="M22" s="48">
        <f t="shared" si="5"/>
        <v>21.000000000000004</v>
      </c>
      <c r="N22" s="203">
        <f t="shared" si="6"/>
        <v>123.00000000000001</v>
      </c>
    </row>
    <row r="23" spans="1:14" s="21" customFormat="1" ht="18" x14ac:dyDescent="0.35">
      <c r="A23" s="75" t="str">
        <f>IF(F23&lt;&gt;"",(LARGE(A$7:A14,1)+1),"")</f>
        <v/>
      </c>
      <c r="B23" s="153"/>
      <c r="C23" s="146"/>
      <c r="D23" s="51"/>
      <c r="E23" s="48"/>
      <c r="F23" s="203"/>
      <c r="G23" s="59"/>
      <c r="H23" s="48"/>
      <c r="I23" s="48"/>
      <c r="J23" s="203"/>
      <c r="K23" s="218"/>
      <c r="L23" s="20"/>
      <c r="M23" s="20"/>
      <c r="N23" s="203"/>
    </row>
    <row r="24" spans="1:14" s="21" customFormat="1" ht="18" x14ac:dyDescent="0.35">
      <c r="A24" s="75" t="str">
        <f>IF(F24&lt;&gt;"",(LARGE(A$7:A22,1)+1),"")</f>
        <v/>
      </c>
      <c r="B24" s="170" t="s">
        <v>62</v>
      </c>
      <c r="C24" s="146"/>
      <c r="D24" s="60"/>
      <c r="E24" s="48"/>
      <c r="F24" s="203"/>
      <c r="G24" s="48"/>
      <c r="H24" s="48"/>
      <c r="I24" s="48"/>
      <c r="J24" s="203"/>
      <c r="K24" s="218"/>
      <c r="L24" s="20"/>
      <c r="M24" s="20"/>
      <c r="N24" s="203"/>
    </row>
    <row r="25" spans="1:14" s="21" customFormat="1" ht="18" x14ac:dyDescent="0.35">
      <c r="A25" s="75">
        <v>8</v>
      </c>
      <c r="B25" s="153" t="s">
        <v>223</v>
      </c>
      <c r="C25" s="146">
        <v>1.22</v>
      </c>
      <c r="D25" s="60" t="s">
        <v>10</v>
      </c>
      <c r="E25" s="48">
        <f t="shared" ref="E25" si="7">G25+H25</f>
        <v>219.8</v>
      </c>
      <c r="F25" s="203">
        <f t="shared" ref="F25" si="8">E25*C25</f>
        <v>268.15600000000001</v>
      </c>
      <c r="G25" s="48">
        <v>67.8</v>
      </c>
      <c r="H25" s="48">
        <v>152</v>
      </c>
      <c r="I25" s="48">
        <f>IF(D25=0," ",(G25)*(Details!$C$4+Details!$C$8))</f>
        <v>10.170000000000002</v>
      </c>
      <c r="J25" s="203">
        <f>IF(D25=0," ",(H25)*(Details!$C$6+Details!$C$8))</f>
        <v>22.800000000000004</v>
      </c>
      <c r="K25" s="59">
        <f t="shared" ref="K25" si="9">+G25*C25</f>
        <v>82.715999999999994</v>
      </c>
      <c r="L25" s="48">
        <f t="shared" ref="L25" si="10">+H25*C25</f>
        <v>185.44</v>
      </c>
      <c r="M25" s="48">
        <f t="shared" ref="M25" si="11">IF(D25=0," ",(I25*C25))</f>
        <v>12.407400000000003</v>
      </c>
      <c r="N25" s="203">
        <f t="shared" ref="N25" si="12">IF(D25=0," ",(J25*C25))</f>
        <v>27.816000000000006</v>
      </c>
    </row>
    <row r="26" spans="1:14" s="21" customFormat="1" ht="18" x14ac:dyDescent="0.35">
      <c r="A26" s="75" t="str">
        <f>IF(F26&lt;&gt;"",(LARGE(A$7:A24,1)+1),"")</f>
        <v/>
      </c>
      <c r="B26" s="153"/>
      <c r="C26" s="146"/>
      <c r="D26" s="60"/>
      <c r="E26" s="48"/>
      <c r="F26" s="203"/>
      <c r="G26" s="48"/>
      <c r="H26" s="48"/>
      <c r="I26" s="48"/>
      <c r="J26" s="203"/>
      <c r="K26" s="218"/>
      <c r="L26" s="20"/>
      <c r="M26" s="20"/>
      <c r="N26" s="203"/>
    </row>
    <row r="27" spans="1:14" s="21" customFormat="1" ht="18" x14ac:dyDescent="0.35">
      <c r="A27" s="75">
        <v>9</v>
      </c>
      <c r="B27" s="153" t="s">
        <v>408</v>
      </c>
      <c r="C27" s="146">
        <v>1</v>
      </c>
      <c r="D27" s="51" t="s">
        <v>12</v>
      </c>
      <c r="E27" s="48">
        <f t="shared" ref="E27:E31" si="13">G27+H27</f>
        <v>960</v>
      </c>
      <c r="F27" s="203">
        <f t="shared" ref="F27:F31" si="14">E27*C27</f>
        <v>960</v>
      </c>
      <c r="G27" s="48">
        <v>140</v>
      </c>
      <c r="H27" s="48">
        <v>820</v>
      </c>
      <c r="I27" s="48">
        <f>IF(D27=0," ",(G27)*(Details!$C$4+Details!$C$8))</f>
        <v>21.000000000000004</v>
      </c>
      <c r="J27" s="203">
        <f>IF(D27=0," ",(H27)*(Details!$C$6+Details!$C$8))</f>
        <v>123.00000000000001</v>
      </c>
      <c r="K27" s="59">
        <f t="shared" ref="K27:K31" si="15">+G27*C27</f>
        <v>140</v>
      </c>
      <c r="L27" s="48">
        <f t="shared" ref="L27:L31" si="16">+H27*C27</f>
        <v>820</v>
      </c>
      <c r="M27" s="48">
        <f t="shared" ref="M27:M31" si="17">IF(D27=0," ",(I27*C27))</f>
        <v>21.000000000000004</v>
      </c>
      <c r="N27" s="203">
        <f t="shared" ref="N27:N31" si="18">IF(D27=0," ",(J27*C27))</f>
        <v>123.00000000000001</v>
      </c>
    </row>
    <row r="28" spans="1:14" s="21" customFormat="1" ht="18" x14ac:dyDescent="0.35">
      <c r="A28" s="75"/>
      <c r="B28" s="153"/>
      <c r="C28" s="146"/>
      <c r="D28" s="51"/>
      <c r="E28" s="48"/>
      <c r="F28" s="203"/>
      <c r="G28" s="48"/>
      <c r="H28" s="48"/>
      <c r="I28" s="48"/>
      <c r="J28" s="203"/>
      <c r="K28" s="59"/>
      <c r="L28" s="48"/>
      <c r="M28" s="48"/>
      <c r="N28" s="203"/>
    </row>
    <row r="29" spans="1:14" s="21" customFormat="1" ht="18" x14ac:dyDescent="0.35">
      <c r="A29" s="75">
        <v>10</v>
      </c>
      <c r="B29" s="153" t="s">
        <v>409</v>
      </c>
      <c r="C29" s="146">
        <v>2</v>
      </c>
      <c r="D29" s="51" t="s">
        <v>12</v>
      </c>
      <c r="E29" s="48">
        <f t="shared" si="13"/>
        <v>900</v>
      </c>
      <c r="F29" s="203">
        <f t="shared" si="14"/>
        <v>1800</v>
      </c>
      <c r="G29" s="48">
        <v>140</v>
      </c>
      <c r="H29" s="48">
        <v>760</v>
      </c>
      <c r="I29" s="48">
        <f>IF(D29=0," ",(G29)*(Details!$C$4+Details!$C$8))</f>
        <v>21.000000000000004</v>
      </c>
      <c r="J29" s="203">
        <f>IF(D29=0," ",(H29)*(Details!$C$6+Details!$C$8))</f>
        <v>114.00000000000001</v>
      </c>
      <c r="K29" s="59">
        <f t="shared" si="15"/>
        <v>280</v>
      </c>
      <c r="L29" s="48">
        <f t="shared" si="16"/>
        <v>1520</v>
      </c>
      <c r="M29" s="48">
        <f t="shared" si="17"/>
        <v>42.000000000000007</v>
      </c>
      <c r="N29" s="203">
        <f t="shared" si="18"/>
        <v>228.00000000000003</v>
      </c>
    </row>
    <row r="30" spans="1:14" s="21" customFormat="1" ht="18" x14ac:dyDescent="0.35">
      <c r="A30" s="75"/>
      <c r="B30" s="153"/>
      <c r="C30" s="146"/>
      <c r="D30" s="51"/>
      <c r="E30" s="48"/>
      <c r="F30" s="203"/>
      <c r="G30" s="48"/>
      <c r="H30" s="48"/>
      <c r="I30" s="48"/>
      <c r="J30" s="203"/>
      <c r="K30" s="59"/>
      <c r="L30" s="48"/>
      <c r="M30" s="48"/>
      <c r="N30" s="203"/>
    </row>
    <row r="31" spans="1:14" s="21" customFormat="1" ht="18" x14ac:dyDescent="0.35">
      <c r="A31" s="75">
        <v>11</v>
      </c>
      <c r="B31" s="153" t="s">
        <v>410</v>
      </c>
      <c r="C31" s="146">
        <v>2</v>
      </c>
      <c r="D31" s="51" t="s">
        <v>12</v>
      </c>
      <c r="E31" s="48">
        <f t="shared" si="13"/>
        <v>860</v>
      </c>
      <c r="F31" s="203">
        <f t="shared" si="14"/>
        <v>1720</v>
      </c>
      <c r="G31" s="48">
        <v>140</v>
      </c>
      <c r="H31" s="48">
        <v>720</v>
      </c>
      <c r="I31" s="48">
        <f>IF(D31=0," ",(G31)*(Details!$C$4+Details!$C$8))</f>
        <v>21.000000000000004</v>
      </c>
      <c r="J31" s="203">
        <f>IF(D31=0," ",(H31)*(Details!$C$6+Details!$C$8))</f>
        <v>108.00000000000001</v>
      </c>
      <c r="K31" s="59">
        <f t="shared" si="15"/>
        <v>280</v>
      </c>
      <c r="L31" s="48">
        <f t="shared" si="16"/>
        <v>1440</v>
      </c>
      <c r="M31" s="48">
        <f t="shared" si="17"/>
        <v>42.000000000000007</v>
      </c>
      <c r="N31" s="203">
        <f t="shared" si="18"/>
        <v>216.00000000000003</v>
      </c>
    </row>
    <row r="32" spans="1:14" s="21" customFormat="1" ht="18" x14ac:dyDescent="0.35">
      <c r="A32" s="75" t="str">
        <f>IF(F32&lt;&gt;"",(LARGE(A$7:A29,1)+1),"")</f>
        <v/>
      </c>
      <c r="B32" s="153"/>
      <c r="C32" s="146"/>
      <c r="D32" s="51"/>
      <c r="E32" s="48"/>
      <c r="F32" s="203"/>
      <c r="G32" s="59"/>
      <c r="H32" s="48"/>
      <c r="I32" s="48"/>
      <c r="J32" s="203"/>
      <c r="K32" s="218"/>
      <c r="L32" s="20"/>
      <c r="M32" s="20"/>
      <c r="N32" s="203"/>
    </row>
    <row r="33" spans="1:14" s="38" customFormat="1" ht="18" x14ac:dyDescent="0.35">
      <c r="A33" s="75" t="str">
        <f>IF(F33&lt;&gt;"",(LARGE(A$7:A31,1)+1),"")</f>
        <v/>
      </c>
      <c r="B33" s="170" t="s">
        <v>94</v>
      </c>
      <c r="C33" s="146"/>
      <c r="D33" s="60"/>
      <c r="E33" s="48"/>
      <c r="F33" s="203"/>
      <c r="G33" s="48"/>
      <c r="H33" s="48"/>
      <c r="I33" s="48"/>
      <c r="J33" s="203"/>
      <c r="K33" s="59"/>
      <c r="L33" s="48"/>
      <c r="M33" s="48"/>
      <c r="N33" s="203"/>
    </row>
    <row r="34" spans="1:14" s="38" customFormat="1" ht="18" x14ac:dyDescent="0.35">
      <c r="A34" s="75" t="str">
        <f>IF(F34&lt;&gt;"",(LARGE(A$7:A33,1)+1),"")</f>
        <v/>
      </c>
      <c r="B34" s="170"/>
      <c r="C34" s="146"/>
      <c r="D34" s="60"/>
      <c r="E34" s="48"/>
      <c r="F34" s="203"/>
      <c r="G34" s="48"/>
      <c r="H34" s="48"/>
      <c r="I34" s="48"/>
      <c r="J34" s="203"/>
      <c r="K34" s="59"/>
      <c r="L34" s="48"/>
      <c r="M34" s="48"/>
      <c r="N34" s="203"/>
    </row>
    <row r="35" spans="1:14" s="38" customFormat="1" ht="18" x14ac:dyDescent="0.35">
      <c r="A35" s="75" t="str">
        <f>IF(F35&lt;&gt;"",(LARGE(A$7:A33,1)+1),"")</f>
        <v/>
      </c>
      <c r="B35" s="170" t="s">
        <v>222</v>
      </c>
      <c r="C35" s="146"/>
      <c r="D35" s="60"/>
      <c r="E35" s="48"/>
      <c r="F35" s="203"/>
      <c r="G35" s="48"/>
      <c r="H35" s="48"/>
      <c r="I35" s="48"/>
      <c r="J35" s="203"/>
      <c r="K35" s="59"/>
      <c r="L35" s="48"/>
      <c r="M35" s="48"/>
      <c r="N35" s="203"/>
    </row>
    <row r="36" spans="1:14" s="38" customFormat="1" ht="18" x14ac:dyDescent="0.35">
      <c r="A36" s="75"/>
      <c r="B36" s="170"/>
      <c r="C36" s="146"/>
      <c r="D36" s="60"/>
      <c r="E36" s="48"/>
      <c r="F36" s="203"/>
      <c r="G36" s="48"/>
      <c r="H36" s="48"/>
      <c r="I36" s="48"/>
      <c r="J36" s="203"/>
      <c r="K36" s="59"/>
      <c r="L36" s="48"/>
      <c r="M36" s="48"/>
      <c r="N36" s="203"/>
    </row>
    <row r="37" spans="1:14" s="38" customFormat="1" ht="18" x14ac:dyDescent="0.35">
      <c r="A37" s="75">
        <v>12</v>
      </c>
      <c r="B37" s="153" t="s">
        <v>411</v>
      </c>
      <c r="C37" s="146">
        <v>4</v>
      </c>
      <c r="D37" s="51" t="s">
        <v>12</v>
      </c>
      <c r="E37" s="48">
        <f t="shared" ref="E37" si="19">G37+H37</f>
        <v>980</v>
      </c>
      <c r="F37" s="203">
        <f t="shared" ref="F37" si="20">E37*C37</f>
        <v>3920</v>
      </c>
      <c r="G37" s="48">
        <v>160</v>
      </c>
      <c r="H37" s="48">
        <v>820</v>
      </c>
      <c r="I37" s="48">
        <f>IF(D37=0," ",(G37)*(Details!$C$4+Details!$C$8))</f>
        <v>24.000000000000004</v>
      </c>
      <c r="J37" s="203">
        <f>IF(D37=0," ",(H37)*(Details!$C$6+Details!$C$8))</f>
        <v>123.00000000000001</v>
      </c>
      <c r="K37" s="59">
        <f t="shared" ref="K37" si="21">+G37*C37</f>
        <v>640</v>
      </c>
      <c r="L37" s="48">
        <f t="shared" ref="L37" si="22">+H37*C37</f>
        <v>3280</v>
      </c>
      <c r="M37" s="48">
        <f t="shared" ref="M37" si="23">IF(D37=0," ",(I37*C37))</f>
        <v>96.000000000000014</v>
      </c>
      <c r="N37" s="203">
        <f t="shared" ref="N37" si="24">IF(D37=0," ",(J37*C37))</f>
        <v>492.00000000000006</v>
      </c>
    </row>
    <row r="38" spans="1:14" s="38" customFormat="1" ht="18" x14ac:dyDescent="0.35">
      <c r="A38" s="75"/>
      <c r="B38" s="153"/>
      <c r="C38" s="146"/>
      <c r="D38" s="51"/>
      <c r="E38" s="48"/>
      <c r="F38" s="203"/>
      <c r="G38" s="48"/>
      <c r="H38" s="48"/>
      <c r="I38" s="48"/>
      <c r="J38" s="203"/>
      <c r="K38" s="59"/>
      <c r="L38" s="48"/>
      <c r="M38" s="48"/>
      <c r="N38" s="203"/>
    </row>
    <row r="39" spans="1:14" s="38" customFormat="1" ht="18" x14ac:dyDescent="0.35">
      <c r="A39" s="75">
        <v>13</v>
      </c>
      <c r="B39" s="153" t="s">
        <v>412</v>
      </c>
      <c r="C39" s="146">
        <v>2</v>
      </c>
      <c r="D39" s="51" t="s">
        <v>12</v>
      </c>
      <c r="E39" s="48">
        <f t="shared" ref="E39:E55" si="25">G39+H39</f>
        <v>920</v>
      </c>
      <c r="F39" s="203">
        <f t="shared" ref="F39:F55" si="26">E39*C39</f>
        <v>1840</v>
      </c>
      <c r="G39" s="48">
        <v>155</v>
      </c>
      <c r="H39" s="48">
        <v>765</v>
      </c>
      <c r="I39" s="48">
        <f>IF(D39=0," ",(G39)*(Details!$C$4+Details!$C$8))</f>
        <v>23.250000000000004</v>
      </c>
      <c r="J39" s="203">
        <f>IF(D39=0," ",(H39)*(Details!$C$6+Details!$C$8))</f>
        <v>114.75000000000001</v>
      </c>
      <c r="K39" s="59">
        <f t="shared" ref="K39:K53" si="27">+G39*C39</f>
        <v>310</v>
      </c>
      <c r="L39" s="48">
        <f t="shared" ref="L39:L53" si="28">+H39*C39</f>
        <v>1530</v>
      </c>
      <c r="M39" s="48">
        <f t="shared" ref="M39:M53" si="29">IF(D39=0," ",(I39*C39))</f>
        <v>46.500000000000007</v>
      </c>
      <c r="N39" s="203">
        <f t="shared" ref="N39:N53" si="30">IF(D39=0," ",(J39*C39))</f>
        <v>229.50000000000003</v>
      </c>
    </row>
    <row r="40" spans="1:14" s="38" customFormat="1" ht="18" x14ac:dyDescent="0.35">
      <c r="A40" s="75"/>
      <c r="B40" s="153"/>
      <c r="C40" s="146"/>
      <c r="D40" s="51"/>
      <c r="E40" s="48"/>
      <c r="F40" s="203"/>
      <c r="G40" s="48"/>
      <c r="H40" s="48"/>
      <c r="I40" s="48"/>
      <c r="J40" s="203"/>
      <c r="K40" s="59"/>
      <c r="L40" s="48"/>
      <c r="M40" s="48"/>
      <c r="N40" s="203"/>
    </row>
    <row r="41" spans="1:14" s="38" customFormat="1" ht="18" x14ac:dyDescent="0.35">
      <c r="A41" s="75">
        <v>14</v>
      </c>
      <c r="B41" s="153" t="s">
        <v>413</v>
      </c>
      <c r="C41" s="146">
        <v>1</v>
      </c>
      <c r="D41" s="51" t="s">
        <v>12</v>
      </c>
      <c r="E41" s="48">
        <f t="shared" si="25"/>
        <v>860</v>
      </c>
      <c r="F41" s="203">
        <f t="shared" si="26"/>
        <v>860</v>
      </c>
      <c r="G41" s="48">
        <v>140</v>
      </c>
      <c r="H41" s="48">
        <v>720</v>
      </c>
      <c r="I41" s="48">
        <f>IF(D41=0," ",(G41)*(Details!$C$4+Details!$C$8))</f>
        <v>21.000000000000004</v>
      </c>
      <c r="J41" s="203">
        <f>IF(D41=0," ",(H41)*(Details!$C$6+Details!$C$8))</f>
        <v>108.00000000000001</v>
      </c>
      <c r="K41" s="59">
        <f t="shared" si="27"/>
        <v>140</v>
      </c>
      <c r="L41" s="48">
        <f t="shared" si="28"/>
        <v>720</v>
      </c>
      <c r="M41" s="48">
        <f t="shared" si="29"/>
        <v>21.000000000000004</v>
      </c>
      <c r="N41" s="203">
        <f t="shared" si="30"/>
        <v>108.00000000000001</v>
      </c>
    </row>
    <row r="42" spans="1:14" s="38" customFormat="1" ht="18" x14ac:dyDescent="0.35">
      <c r="A42" s="75"/>
      <c r="B42" s="153"/>
      <c r="C42" s="146"/>
      <c r="D42" s="51"/>
      <c r="E42" s="48"/>
      <c r="F42" s="203"/>
      <c r="G42" s="48"/>
      <c r="H42" s="48"/>
      <c r="I42" s="48"/>
      <c r="J42" s="203"/>
      <c r="K42" s="59"/>
      <c r="L42" s="48"/>
      <c r="M42" s="48"/>
      <c r="N42" s="203"/>
    </row>
    <row r="43" spans="1:14" s="38" customFormat="1" ht="18" x14ac:dyDescent="0.35">
      <c r="A43" s="75">
        <v>15</v>
      </c>
      <c r="B43" s="153" t="s">
        <v>414</v>
      </c>
      <c r="C43" s="146">
        <v>1</v>
      </c>
      <c r="D43" s="51" t="s">
        <v>12</v>
      </c>
      <c r="E43" s="48">
        <f t="shared" si="25"/>
        <v>1050</v>
      </c>
      <c r="F43" s="203">
        <f t="shared" si="26"/>
        <v>1050</v>
      </c>
      <c r="G43" s="48">
        <v>160</v>
      </c>
      <c r="H43" s="48">
        <v>890</v>
      </c>
      <c r="I43" s="48">
        <f>IF(D43=0," ",(G43)*(Details!$C$4+Details!$C$8))</f>
        <v>24.000000000000004</v>
      </c>
      <c r="J43" s="203">
        <f>IF(D43=0," ",(H43)*(Details!$C$6+Details!$C$8))</f>
        <v>133.50000000000003</v>
      </c>
      <c r="K43" s="59">
        <f t="shared" si="27"/>
        <v>160</v>
      </c>
      <c r="L43" s="48">
        <f t="shared" si="28"/>
        <v>890</v>
      </c>
      <c r="M43" s="48">
        <f t="shared" si="29"/>
        <v>24.000000000000004</v>
      </c>
      <c r="N43" s="203">
        <f t="shared" si="30"/>
        <v>133.50000000000003</v>
      </c>
    </row>
    <row r="44" spans="1:14" s="38" customFormat="1" ht="18" x14ac:dyDescent="0.35">
      <c r="A44" s="75"/>
      <c r="B44" s="153"/>
      <c r="C44" s="146"/>
      <c r="D44" s="51"/>
      <c r="E44" s="48"/>
      <c r="F44" s="203"/>
      <c r="G44" s="48"/>
      <c r="H44" s="48"/>
      <c r="I44" s="48"/>
      <c r="J44" s="203"/>
      <c r="K44" s="59"/>
      <c r="L44" s="48"/>
      <c r="M44" s="48"/>
      <c r="N44" s="203"/>
    </row>
    <row r="45" spans="1:14" s="38" customFormat="1" ht="18" x14ac:dyDescent="0.35">
      <c r="A45" s="75">
        <v>16</v>
      </c>
      <c r="B45" s="153" t="s">
        <v>415</v>
      </c>
      <c r="C45" s="146">
        <v>1</v>
      </c>
      <c r="D45" s="51" t="s">
        <v>12</v>
      </c>
      <c r="E45" s="48">
        <f t="shared" si="25"/>
        <v>1560</v>
      </c>
      <c r="F45" s="203">
        <f t="shared" si="26"/>
        <v>1560</v>
      </c>
      <c r="G45" s="48">
        <v>220</v>
      </c>
      <c r="H45" s="48">
        <v>1340</v>
      </c>
      <c r="I45" s="48">
        <f>IF(D45=0," ",(G45)*(Details!$C$4+Details!$C$8))</f>
        <v>33.000000000000007</v>
      </c>
      <c r="J45" s="203">
        <f>IF(D45=0," ",(H45)*(Details!$C$6+Details!$C$8))</f>
        <v>201.00000000000003</v>
      </c>
      <c r="K45" s="59">
        <f t="shared" si="27"/>
        <v>220</v>
      </c>
      <c r="L45" s="48">
        <f t="shared" si="28"/>
        <v>1340</v>
      </c>
      <c r="M45" s="48">
        <f t="shared" si="29"/>
        <v>33.000000000000007</v>
      </c>
      <c r="N45" s="203">
        <f t="shared" si="30"/>
        <v>201.00000000000003</v>
      </c>
    </row>
    <row r="46" spans="1:14" s="38" customFormat="1" ht="18" x14ac:dyDescent="0.35">
      <c r="A46" s="75"/>
      <c r="B46" s="153"/>
      <c r="C46" s="146"/>
      <c r="D46" s="51"/>
      <c r="E46" s="48"/>
      <c r="F46" s="203"/>
      <c r="G46" s="48"/>
      <c r="H46" s="48"/>
      <c r="I46" s="48"/>
      <c r="J46" s="203"/>
      <c r="K46" s="59"/>
      <c r="L46" s="48"/>
      <c r="M46" s="48"/>
      <c r="N46" s="203"/>
    </row>
    <row r="47" spans="1:14" s="38" customFormat="1" ht="18" x14ac:dyDescent="0.35">
      <c r="A47" s="75">
        <v>17</v>
      </c>
      <c r="B47" s="153" t="s">
        <v>416</v>
      </c>
      <c r="C47" s="146">
        <v>1</v>
      </c>
      <c r="D47" s="51" t="s">
        <v>12</v>
      </c>
      <c r="E47" s="48">
        <f t="shared" si="25"/>
        <v>455</v>
      </c>
      <c r="F47" s="203">
        <f t="shared" si="26"/>
        <v>455</v>
      </c>
      <c r="G47" s="48">
        <v>130</v>
      </c>
      <c r="H47" s="48">
        <v>325</v>
      </c>
      <c r="I47" s="48">
        <f>IF(D47=0," ",(G47)*(Details!$C$4+Details!$C$8))</f>
        <v>19.500000000000004</v>
      </c>
      <c r="J47" s="203">
        <f>IF(D47=0," ",(H47)*(Details!$C$6+Details!$C$8))</f>
        <v>48.750000000000007</v>
      </c>
      <c r="K47" s="59">
        <f t="shared" si="27"/>
        <v>130</v>
      </c>
      <c r="L47" s="48">
        <f t="shared" si="28"/>
        <v>325</v>
      </c>
      <c r="M47" s="48">
        <f t="shared" si="29"/>
        <v>19.500000000000004</v>
      </c>
      <c r="N47" s="203">
        <f t="shared" si="30"/>
        <v>48.750000000000007</v>
      </c>
    </row>
    <row r="48" spans="1:14" s="38" customFormat="1" ht="18" x14ac:dyDescent="0.35">
      <c r="A48" s="75"/>
      <c r="B48" s="153"/>
      <c r="C48" s="146"/>
      <c r="D48" s="51"/>
      <c r="E48" s="48"/>
      <c r="F48" s="203"/>
      <c r="G48" s="48"/>
      <c r="H48" s="48"/>
      <c r="I48" s="48"/>
      <c r="J48" s="203"/>
      <c r="K48" s="59"/>
      <c r="L48" s="48"/>
      <c r="M48" s="48"/>
      <c r="N48" s="203"/>
    </row>
    <row r="49" spans="1:16" s="38" customFormat="1" ht="16.5" customHeight="1" x14ac:dyDescent="0.35">
      <c r="A49" s="75">
        <v>18</v>
      </c>
      <c r="B49" s="153" t="s">
        <v>417</v>
      </c>
      <c r="C49" s="146">
        <v>1</v>
      </c>
      <c r="D49" s="51" t="s">
        <v>12</v>
      </c>
      <c r="E49" s="48">
        <f t="shared" si="25"/>
        <v>408</v>
      </c>
      <c r="F49" s="203">
        <f t="shared" si="26"/>
        <v>408</v>
      </c>
      <c r="G49" s="48">
        <v>120</v>
      </c>
      <c r="H49" s="48">
        <v>288</v>
      </c>
      <c r="I49" s="48">
        <f>IF(D49=0," ",(G49)*(Details!$C$4+Details!$C$8))</f>
        <v>18.000000000000004</v>
      </c>
      <c r="J49" s="203">
        <f>IF(D49=0," ",(H49)*(Details!$C$6+Details!$C$8))</f>
        <v>43.2</v>
      </c>
      <c r="K49" s="59">
        <f t="shared" si="27"/>
        <v>120</v>
      </c>
      <c r="L49" s="48">
        <f t="shared" si="28"/>
        <v>288</v>
      </c>
      <c r="M49" s="48">
        <f t="shared" si="29"/>
        <v>18.000000000000004</v>
      </c>
      <c r="N49" s="203">
        <f t="shared" si="30"/>
        <v>43.2</v>
      </c>
    </row>
    <row r="50" spans="1:16" s="38" customFormat="1" ht="18" x14ac:dyDescent="0.35">
      <c r="A50" s="75"/>
      <c r="B50" s="153"/>
      <c r="C50" s="146"/>
      <c r="D50" s="51"/>
      <c r="E50" s="48"/>
      <c r="F50" s="203"/>
      <c r="G50" s="48"/>
      <c r="H50" s="48"/>
      <c r="I50" s="48"/>
      <c r="J50" s="203"/>
      <c r="K50" s="59"/>
      <c r="L50" s="48"/>
      <c r="M50" s="48"/>
      <c r="N50" s="203"/>
    </row>
    <row r="51" spans="1:16" s="38" customFormat="1" ht="18" x14ac:dyDescent="0.35">
      <c r="A51" s="75">
        <v>19</v>
      </c>
      <c r="B51" s="153" t="s">
        <v>418</v>
      </c>
      <c r="C51" s="146">
        <v>1</v>
      </c>
      <c r="D51" s="51" t="s">
        <v>12</v>
      </c>
      <c r="E51" s="48">
        <f t="shared" si="25"/>
        <v>1505</v>
      </c>
      <c r="F51" s="203">
        <f t="shared" si="26"/>
        <v>1505</v>
      </c>
      <c r="G51" s="48">
        <v>380</v>
      </c>
      <c r="H51" s="48">
        <v>1125</v>
      </c>
      <c r="I51" s="48">
        <f>IF(D51=0," ",(G51)*(Details!$C$4+Details!$C$8))</f>
        <v>57.000000000000007</v>
      </c>
      <c r="J51" s="203">
        <f>IF(D51=0," ",(H51)*(Details!$C$6+Details!$C$8))</f>
        <v>168.75000000000003</v>
      </c>
      <c r="K51" s="59">
        <f t="shared" si="27"/>
        <v>380</v>
      </c>
      <c r="L51" s="48">
        <f t="shared" si="28"/>
        <v>1125</v>
      </c>
      <c r="M51" s="48">
        <f t="shared" si="29"/>
        <v>57.000000000000007</v>
      </c>
      <c r="N51" s="203">
        <f t="shared" si="30"/>
        <v>168.75000000000003</v>
      </c>
    </row>
    <row r="52" spans="1:16" s="38" customFormat="1" ht="18" x14ac:dyDescent="0.35">
      <c r="A52" s="75"/>
      <c r="B52" s="153"/>
      <c r="C52" s="146"/>
      <c r="D52" s="51"/>
      <c r="E52" s="48"/>
      <c r="F52" s="203"/>
      <c r="G52" s="48"/>
      <c r="H52" s="48"/>
      <c r="I52" s="48"/>
      <c r="J52" s="203"/>
      <c r="K52" s="59"/>
      <c r="L52" s="48"/>
      <c r="M52" s="48"/>
      <c r="N52" s="203"/>
    </row>
    <row r="53" spans="1:16" s="38" customFormat="1" ht="18" x14ac:dyDescent="0.35">
      <c r="A53" s="75">
        <v>20</v>
      </c>
      <c r="B53" s="153" t="s">
        <v>419</v>
      </c>
      <c r="C53" s="146">
        <v>1</v>
      </c>
      <c r="D53" s="51" t="s">
        <v>12</v>
      </c>
      <c r="E53" s="48">
        <f t="shared" si="25"/>
        <v>1425</v>
      </c>
      <c r="F53" s="203">
        <f t="shared" si="26"/>
        <v>1425</v>
      </c>
      <c r="G53" s="48">
        <v>345</v>
      </c>
      <c r="H53" s="48">
        <v>1080</v>
      </c>
      <c r="I53" s="48">
        <f>IF(D53=0," ",(G53)*(Details!$C$4+Details!$C$8))</f>
        <v>51.750000000000007</v>
      </c>
      <c r="J53" s="203">
        <f>IF(D53=0," ",(H53)*(Details!$C$6+Details!$C$8))</f>
        <v>162.00000000000003</v>
      </c>
      <c r="K53" s="59">
        <f t="shared" si="27"/>
        <v>345</v>
      </c>
      <c r="L53" s="48">
        <f t="shared" si="28"/>
        <v>1080</v>
      </c>
      <c r="M53" s="48">
        <f t="shared" si="29"/>
        <v>51.750000000000007</v>
      </c>
      <c r="N53" s="203">
        <f t="shared" si="30"/>
        <v>162.00000000000003</v>
      </c>
    </row>
    <row r="54" spans="1:16" s="38" customFormat="1" ht="18" x14ac:dyDescent="0.35">
      <c r="A54" s="75"/>
      <c r="B54" s="153"/>
      <c r="C54" s="146"/>
      <c r="D54" s="60"/>
      <c r="E54" s="48"/>
      <c r="F54" s="203"/>
      <c r="G54" s="48"/>
      <c r="H54" s="48"/>
      <c r="I54" s="48"/>
      <c r="J54" s="203"/>
      <c r="K54" s="59"/>
      <c r="L54" s="48"/>
      <c r="M54" s="48"/>
      <c r="N54" s="203"/>
    </row>
    <row r="55" spans="1:16" s="38" customFormat="1" ht="18" x14ac:dyDescent="0.35">
      <c r="A55" s="75">
        <v>21</v>
      </c>
      <c r="B55" s="153" t="s">
        <v>420</v>
      </c>
      <c r="C55" s="146">
        <v>3</v>
      </c>
      <c r="D55" s="51" t="s">
        <v>12</v>
      </c>
      <c r="E55" s="48">
        <f t="shared" si="25"/>
        <v>214</v>
      </c>
      <c r="F55" s="203">
        <f t="shared" si="26"/>
        <v>642</v>
      </c>
      <c r="G55" s="48">
        <v>80</v>
      </c>
      <c r="H55" s="48">
        <v>134</v>
      </c>
      <c r="I55" s="48">
        <f>IF(D55=0," ",(G55)*(Details!$C$4+Details!$C$8))</f>
        <v>12.000000000000002</v>
      </c>
      <c r="J55" s="203">
        <f>IF(D55=0," ",(H55)*(Details!$C$6+Details!$C$8))</f>
        <v>20.100000000000001</v>
      </c>
      <c r="K55" s="59">
        <f t="shared" ref="K55" si="31">+G55*C55</f>
        <v>240</v>
      </c>
      <c r="L55" s="48">
        <f t="shared" ref="L55" si="32">+H55*C55</f>
        <v>402</v>
      </c>
      <c r="M55" s="48">
        <f t="shared" ref="M55" si="33">IF(D55=0," ",(I55*C55))</f>
        <v>36.000000000000007</v>
      </c>
      <c r="N55" s="203">
        <f t="shared" ref="N55" si="34">IF(D55=0," ",(J55*C55))</f>
        <v>60.300000000000004</v>
      </c>
    </row>
    <row r="56" spans="1:16" s="21" customFormat="1" ht="18" x14ac:dyDescent="0.35">
      <c r="A56" s="75" t="str">
        <f>IF(F56&lt;&gt;"",(LARGE(A$7:A54,1)+1),"")</f>
        <v/>
      </c>
      <c r="B56" s="153"/>
      <c r="C56" s="52"/>
      <c r="D56" s="51"/>
      <c r="E56" s="48"/>
      <c r="F56" s="203"/>
      <c r="G56" s="59"/>
      <c r="H56" s="48"/>
      <c r="I56" s="48"/>
      <c r="J56" s="203"/>
      <c r="K56" s="218"/>
      <c r="L56" s="20"/>
      <c r="M56" s="20"/>
      <c r="N56" s="203"/>
    </row>
    <row r="57" spans="1:16" s="21" customFormat="1" ht="18" x14ac:dyDescent="0.35">
      <c r="A57" s="75" t="str">
        <f>IF(F57&lt;&gt;"",(LARGE(A$7:A56,1)+1),"")</f>
        <v/>
      </c>
      <c r="B57" s="153"/>
      <c r="C57" s="52"/>
      <c r="D57" s="51"/>
      <c r="E57" s="48"/>
      <c r="F57" s="203"/>
      <c r="G57" s="59"/>
      <c r="H57" s="48"/>
      <c r="I57" s="48"/>
      <c r="J57" s="203" t="str">
        <f>IF(D57=0," ",(G57+H57)*(Details!$C$4+Details!$C$6))</f>
        <v xml:space="preserve"> </v>
      </c>
      <c r="K57" s="218"/>
      <c r="L57" s="20"/>
      <c r="M57" s="20"/>
      <c r="N57" s="203"/>
      <c r="P57" s="72" t="s">
        <v>142</v>
      </c>
    </row>
    <row r="58" spans="1:16" s="21" customFormat="1" ht="18.600000000000001" thickBot="1" x14ac:dyDescent="0.4">
      <c r="A58" s="75"/>
      <c r="B58" s="164"/>
      <c r="C58" s="52"/>
      <c r="D58" s="60"/>
      <c r="E58" s="62" t="s">
        <v>115</v>
      </c>
      <c r="F58" s="204">
        <f>SUM(F1:F57)</f>
        <v>25670.212</v>
      </c>
      <c r="G58" s="59"/>
      <c r="H58" s="48"/>
      <c r="I58" s="48"/>
      <c r="J58" s="203" t="str">
        <f>IF(D58=0," ",(G58+H58)*(Details!$C$4+Details!$C$6))</f>
        <v xml:space="preserve"> </v>
      </c>
      <c r="K58" s="252">
        <f>SUM(K1:K57)</f>
        <v>4863.3320000000003</v>
      </c>
      <c r="L58" s="253">
        <f>SUM(L1:L57)</f>
        <v>20806.88</v>
      </c>
      <c r="M58" s="253">
        <f>SUM(M1:M57)</f>
        <v>729.49980000000005</v>
      </c>
      <c r="N58" s="204">
        <f>SUM(N1:N57)</f>
        <v>3121.0320000000002</v>
      </c>
      <c r="O58" s="55"/>
      <c r="P58" s="72">
        <f>+F58-K58-L58-N58-M58</f>
        <v>-3850.5318000000038</v>
      </c>
    </row>
    <row r="59" spans="1:16" s="21" customFormat="1" ht="19.2" thickTop="1" thickBot="1" x14ac:dyDescent="0.4">
      <c r="A59" s="165" t="str">
        <f>IF(F59&lt;&gt;"",(LARGE(A$7:A58,1)+1),"")</f>
        <v/>
      </c>
      <c r="B59" s="166"/>
      <c r="C59" s="167"/>
      <c r="D59" s="63"/>
      <c r="E59" s="65"/>
      <c r="F59" s="67"/>
      <c r="G59" s="66"/>
      <c r="H59" s="65"/>
      <c r="I59" s="65"/>
      <c r="J59" s="67" t="str">
        <f>IF(D59=0," ",(G59+H59)*(Details!$C$4+Details!$C$6))</f>
        <v xml:space="preserve"> </v>
      </c>
      <c r="K59" s="231"/>
      <c r="L59" s="231"/>
      <c r="M59" s="231"/>
      <c r="N59" s="191"/>
      <c r="O59" s="55"/>
    </row>
    <row r="60" spans="1:16" x14ac:dyDescent="0.3">
      <c r="J60" s="16"/>
    </row>
    <row r="61" spans="1:16" x14ac:dyDescent="0.3">
      <c r="J61" s="16"/>
    </row>
  </sheetData>
  <mergeCells count="2">
    <mergeCell ref="G5:J5"/>
    <mergeCell ref="K5:N5"/>
  </mergeCells>
  <conditionalFormatting sqref="G8:G10554">
    <cfRule type="notContainsBlanks" dxfId="31" priority="1">
      <formula>LEN(TRIM(G8))&gt;0</formula>
    </cfRule>
  </conditionalFormatting>
  <conditionalFormatting sqref="H10 H12:H22 H23:I24 H54:I54 H56:I10554">
    <cfRule type="notContainsBlanks" dxfId="30" priority="36">
      <formula>LEN(TRIM(H10))&gt;0</formula>
    </cfRule>
  </conditionalFormatting>
  <conditionalFormatting sqref="H25 H37:H53">
    <cfRule type="notContainsBlanks" dxfId="29" priority="6">
      <formula>LEN(TRIM(H25))&gt;0</formula>
    </cfRule>
  </conditionalFormatting>
  <conditionalFormatting sqref="H27:H31">
    <cfRule type="notContainsBlanks" dxfId="28" priority="10">
      <formula>LEN(TRIM(H27))&gt;0</formula>
    </cfRule>
  </conditionalFormatting>
  <conditionalFormatting sqref="H55">
    <cfRule type="notContainsBlanks" dxfId="27" priority="2">
      <formula>LEN(TRIM(H55))&gt;0</formula>
    </cfRule>
  </conditionalFormatting>
  <conditionalFormatting sqref="H8:I9 H11:I11 H26:I26 H32:I36">
    <cfRule type="notContainsBlanks" dxfId="26" priority="42">
      <formula>LEN(TRIM(H8))&gt;0</formula>
    </cfRule>
  </conditionalFormatting>
  <conditionalFormatting sqref="P58">
    <cfRule type="cellIs" dxfId="25" priority="43" operator="equal">
      <formula>0</formula>
    </cfRule>
    <cfRule type="cellIs" dxfId="24" priority="44" operator="notBetween">
      <formula>-0.01</formula>
      <formula>0.01</formula>
    </cfRule>
  </conditionalFormatting>
  <printOptions horizontalCentered="1"/>
  <pageMargins left="0.70866141732283461" right="0.70866141732283461" top="0.31496062992125984" bottom="0.55118110236220474" header="0.31496062992125984" footer="0.31496062992125984"/>
  <pageSetup paperSize="9" scale="62" fitToHeight="0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7">
    <pageSetUpPr fitToPage="1"/>
  </sheetPr>
  <dimension ref="A1:R61"/>
  <sheetViews>
    <sheetView zoomScale="81" zoomScaleNormal="55" workbookViewId="0">
      <selection activeCell="E13" sqref="E13:F13"/>
    </sheetView>
  </sheetViews>
  <sheetFormatPr defaultColWidth="9.109375" defaultRowHeight="15.6" x14ac:dyDescent="0.3"/>
  <cols>
    <col min="1" max="1" width="5.44140625" style="16" customWidth="1"/>
    <col min="2" max="2" width="80.77734375" style="21" customWidth="1"/>
    <col min="3" max="3" width="12.44140625" style="28" customWidth="1"/>
    <col min="4" max="4" width="8.6640625" style="16" customWidth="1"/>
    <col min="5" max="6" width="15.6640625" style="20" customWidth="1"/>
    <col min="7" max="10" width="14.33203125" style="20" customWidth="1"/>
    <col min="11" max="13" width="15.6640625" style="20" customWidth="1"/>
    <col min="14" max="14" width="15.6640625" style="16" customWidth="1"/>
    <col min="15" max="15" width="9.109375" style="16"/>
    <col min="16" max="16" width="13" style="16" customWidth="1"/>
    <col min="17" max="16384" width="9.109375" style="16"/>
  </cols>
  <sheetData>
    <row r="1" spans="1:18" x14ac:dyDescent="0.3">
      <c r="A1" s="29"/>
      <c r="B1" s="23"/>
      <c r="C1" s="30"/>
      <c r="D1" s="24"/>
      <c r="E1" s="33"/>
      <c r="F1" s="34"/>
      <c r="G1" s="33"/>
      <c r="H1" s="33"/>
      <c r="I1" s="33"/>
      <c r="J1" s="24"/>
    </row>
    <row r="2" spans="1:18" x14ac:dyDescent="0.3">
      <c r="A2" s="15"/>
      <c r="B2" s="3" t="str">
        <f>+'Qual, Excl &amp; Assum'!B2</f>
        <v>PROJECT: Mr &amp; Mrs Hawkes-Cowands House</v>
      </c>
      <c r="F2" s="35"/>
      <c r="J2" s="16"/>
    </row>
    <row r="3" spans="1:18" x14ac:dyDescent="0.3">
      <c r="A3" s="15"/>
      <c r="B3" s="53" t="str">
        <f>+'Qual, Excl &amp; Assum'!B3</f>
        <v>DATE: 25TH SEPTEMBER 2025</v>
      </c>
      <c r="F3" s="35"/>
      <c r="J3" s="16"/>
    </row>
    <row r="4" spans="1:18" s="21" customFormat="1" ht="16.2" thickBot="1" x14ac:dyDescent="0.35">
      <c r="A4" s="15"/>
      <c r="B4" s="22"/>
      <c r="C4" s="28"/>
      <c r="E4" s="36"/>
      <c r="F4" s="37"/>
      <c r="G4" s="36"/>
      <c r="H4" s="36"/>
      <c r="I4" s="36"/>
      <c r="K4" s="20"/>
      <c r="L4" s="20"/>
      <c r="M4" s="20"/>
    </row>
    <row r="5" spans="1:18" s="21" customFormat="1" ht="38.25" customHeight="1" thickBot="1" x14ac:dyDescent="0.35">
      <c r="A5" s="210"/>
      <c r="B5" s="211" t="s">
        <v>20</v>
      </c>
      <c r="C5" s="215"/>
      <c r="D5" s="213"/>
      <c r="E5" s="214"/>
      <c r="F5" s="220"/>
      <c r="G5" s="370" t="s">
        <v>138</v>
      </c>
      <c r="H5" s="371"/>
      <c r="I5" s="371"/>
      <c r="J5" s="372"/>
      <c r="K5" s="370" t="s">
        <v>139</v>
      </c>
      <c r="L5" s="371"/>
      <c r="M5" s="371"/>
      <c r="N5" s="372"/>
    </row>
    <row r="6" spans="1:18" s="21" customFormat="1" ht="18" x14ac:dyDescent="0.35">
      <c r="A6" s="49"/>
      <c r="B6" s="38"/>
      <c r="C6" s="52"/>
      <c r="D6" s="38"/>
      <c r="E6" s="64"/>
      <c r="F6" s="201"/>
      <c r="G6" s="255"/>
      <c r="H6" s="64"/>
      <c r="I6" s="64"/>
      <c r="J6" s="206"/>
      <c r="K6" s="218"/>
      <c r="L6" s="20"/>
      <c r="M6" s="20"/>
      <c r="N6" s="27"/>
    </row>
    <row r="7" spans="1:18" s="21" customFormat="1" ht="18" x14ac:dyDescent="0.35">
      <c r="A7" s="49"/>
      <c r="B7" s="3" t="s">
        <v>3</v>
      </c>
      <c r="C7" s="263" t="s">
        <v>8</v>
      </c>
      <c r="D7" s="264" t="s">
        <v>2</v>
      </c>
      <c r="E7" s="54" t="s">
        <v>1</v>
      </c>
      <c r="F7" s="265" t="s">
        <v>0</v>
      </c>
      <c r="G7" s="266" t="s">
        <v>34</v>
      </c>
      <c r="H7" s="266" t="s">
        <v>35</v>
      </c>
      <c r="I7" s="266" t="s">
        <v>177</v>
      </c>
      <c r="J7" s="267" t="s">
        <v>178</v>
      </c>
      <c r="K7" s="266" t="s">
        <v>34</v>
      </c>
      <c r="L7" s="266" t="s">
        <v>35</v>
      </c>
      <c r="M7" s="266" t="s">
        <v>177</v>
      </c>
      <c r="N7" s="267" t="s">
        <v>178</v>
      </c>
    </row>
    <row r="8" spans="1:18" s="21" customFormat="1" ht="18" x14ac:dyDescent="0.35">
      <c r="A8" s="49"/>
      <c r="B8" s="160"/>
      <c r="C8" s="149"/>
      <c r="D8" s="61"/>
      <c r="E8" s="62"/>
      <c r="F8" s="202"/>
      <c r="G8" s="59"/>
      <c r="H8" s="48"/>
      <c r="I8" s="48"/>
      <c r="J8" s="207"/>
      <c r="K8" s="218"/>
      <c r="L8" s="20"/>
      <c r="M8" s="20"/>
      <c r="N8" s="203" t="str">
        <f t="shared" ref="N8" si="0">IF(D8=0," ",(J8*C8))</f>
        <v xml:space="preserve"> </v>
      </c>
    </row>
    <row r="9" spans="1:18" s="21" customFormat="1" ht="18" x14ac:dyDescent="0.35">
      <c r="A9" s="49"/>
      <c r="C9" s="146"/>
      <c r="D9" s="51"/>
      <c r="E9" s="48"/>
      <c r="F9" s="203"/>
      <c r="G9" s="59"/>
      <c r="H9" s="48"/>
      <c r="I9" s="48"/>
      <c r="J9" s="203"/>
      <c r="K9" s="218"/>
      <c r="L9" s="20"/>
      <c r="M9" s="20"/>
      <c r="N9" s="203"/>
    </row>
    <row r="10" spans="1:18" s="21" customFormat="1" ht="18" x14ac:dyDescent="0.35">
      <c r="A10" s="49"/>
      <c r="B10" s="152"/>
      <c r="C10" s="146"/>
      <c r="D10" s="51"/>
      <c r="E10" s="48"/>
      <c r="F10" s="203"/>
      <c r="G10" s="59"/>
      <c r="H10" s="48"/>
      <c r="I10" s="48"/>
      <c r="J10" s="203"/>
      <c r="K10" s="218"/>
      <c r="L10" s="20"/>
      <c r="M10" s="20"/>
      <c r="N10" s="203"/>
    </row>
    <row r="11" spans="1:18" s="21" customFormat="1" ht="18" x14ac:dyDescent="0.35">
      <c r="A11" s="49"/>
      <c r="B11" s="161" t="s">
        <v>421</v>
      </c>
      <c r="C11" s="146"/>
      <c r="D11" s="51"/>
      <c r="E11" s="48"/>
      <c r="F11" s="203"/>
      <c r="G11" s="59"/>
      <c r="H11" s="48"/>
      <c r="I11" s="48"/>
      <c r="J11" s="203"/>
      <c r="K11" s="218"/>
      <c r="L11" s="20"/>
      <c r="M11" s="20"/>
      <c r="N11" s="203"/>
    </row>
    <row r="12" spans="1:18" s="21" customFormat="1" ht="18" x14ac:dyDescent="0.35">
      <c r="A12" s="49"/>
      <c r="B12" s="161"/>
      <c r="C12" s="146"/>
      <c r="D12" s="51"/>
      <c r="E12" s="48"/>
      <c r="F12" s="203"/>
      <c r="G12" s="48"/>
      <c r="H12" s="48"/>
      <c r="I12" s="48"/>
      <c r="J12" s="203"/>
      <c r="K12" s="218"/>
      <c r="L12" s="20"/>
      <c r="M12" s="20"/>
      <c r="N12" s="203"/>
    </row>
    <row r="13" spans="1:18" s="21" customFormat="1" ht="18" x14ac:dyDescent="0.35">
      <c r="A13" s="75">
        <v>1</v>
      </c>
      <c r="B13" s="152" t="s">
        <v>422</v>
      </c>
      <c r="C13" s="146">
        <v>1</v>
      </c>
      <c r="D13" s="51" t="s">
        <v>12</v>
      </c>
      <c r="E13" s="48">
        <f>G13+H13</f>
        <v>177</v>
      </c>
      <c r="F13" s="203">
        <f>E13*C13</f>
        <v>177</v>
      </c>
      <c r="G13" s="48">
        <v>55</v>
      </c>
      <c r="H13" s="48">
        <v>122</v>
      </c>
      <c r="I13" s="48">
        <f>IF(D13=0," ",(G13)*(Details!$C$4+Details!$C$8))</f>
        <v>8.2500000000000018</v>
      </c>
      <c r="J13" s="203">
        <f>IF(D13=0," ",(H13)*(Details!$C$6+Details!$C$8))</f>
        <v>18.300000000000004</v>
      </c>
      <c r="K13" s="59">
        <f t="shared" ref="K13" si="1">+G13*C13</f>
        <v>55</v>
      </c>
      <c r="L13" s="48">
        <f t="shared" ref="L13" si="2">+H13*C13</f>
        <v>122</v>
      </c>
      <c r="M13" s="48">
        <f t="shared" ref="M13" si="3">IF(D13=0," ",(I13*C13))</f>
        <v>8.2500000000000018</v>
      </c>
      <c r="N13" s="203">
        <f t="shared" ref="N13" si="4">IF(D13=0," ",(J13*C13))</f>
        <v>18.300000000000004</v>
      </c>
      <c r="P13" s="58"/>
      <c r="Q13" s="58"/>
      <c r="R13" s="58"/>
    </row>
    <row r="14" spans="1:18" s="21" customFormat="1" ht="18" x14ac:dyDescent="0.35">
      <c r="A14" s="75"/>
      <c r="B14" s="152"/>
      <c r="C14" s="146"/>
      <c r="D14" s="51"/>
      <c r="E14" s="48"/>
      <c r="F14" s="203"/>
      <c r="G14" s="48"/>
      <c r="H14" s="48"/>
      <c r="I14" s="48"/>
      <c r="J14" s="203"/>
      <c r="K14" s="59"/>
      <c r="L14" s="48"/>
      <c r="M14" s="48"/>
      <c r="N14" s="203"/>
      <c r="P14" s="58"/>
      <c r="Q14" s="58"/>
      <c r="R14" s="58"/>
    </row>
    <row r="15" spans="1:18" s="21" customFormat="1" ht="18" x14ac:dyDescent="0.35">
      <c r="A15" s="75">
        <f>IF(F15&lt;&gt;"",(LARGE(A$7:A13,1)+1),"")</f>
        <v>2</v>
      </c>
      <c r="B15" s="152" t="s">
        <v>423</v>
      </c>
      <c r="C15" s="146">
        <v>31</v>
      </c>
      <c r="D15" s="51" t="s">
        <v>12</v>
      </c>
      <c r="E15" s="48">
        <f t="shared" ref="E15:E27" si="5">G15+H15</f>
        <v>137</v>
      </c>
      <c r="F15" s="203">
        <f t="shared" ref="F15:F27" si="6">E15*C15</f>
        <v>4247</v>
      </c>
      <c r="G15" s="48">
        <v>45</v>
      </c>
      <c r="H15" s="48">
        <v>92</v>
      </c>
      <c r="I15" s="48">
        <f>IF(D15=0," ",(G15)*(Details!$C$4+Details!$C$8))</f>
        <v>6.7500000000000009</v>
      </c>
      <c r="J15" s="203">
        <f>IF(D15=0," ",(H15)*(Details!$C$6+Details!$C$8))</f>
        <v>13.800000000000002</v>
      </c>
      <c r="K15" s="59">
        <f t="shared" ref="K15:K27" si="7">+G15*C15</f>
        <v>1395</v>
      </c>
      <c r="L15" s="48">
        <f t="shared" ref="L15:L27" si="8">+H15*C15</f>
        <v>2852</v>
      </c>
      <c r="M15" s="48">
        <f t="shared" ref="M15:M27" si="9">IF(D15=0," ",(I15*C15))</f>
        <v>209.25000000000003</v>
      </c>
      <c r="N15" s="203">
        <f t="shared" ref="N15:N27" si="10">IF(D15=0," ",(J15*C15))</f>
        <v>427.80000000000007</v>
      </c>
      <c r="P15" s="58"/>
      <c r="Q15" s="58"/>
      <c r="R15" s="58"/>
    </row>
    <row r="16" spans="1:18" s="21" customFormat="1" ht="18" x14ac:dyDescent="0.35">
      <c r="A16" s="75"/>
      <c r="B16" s="152"/>
      <c r="C16" s="146"/>
      <c r="D16" s="51"/>
      <c r="E16" s="48"/>
      <c r="F16" s="203"/>
      <c r="G16" s="48"/>
      <c r="H16" s="48"/>
      <c r="I16" s="48"/>
      <c r="J16" s="203"/>
      <c r="K16" s="59"/>
      <c r="L16" s="48"/>
      <c r="M16" s="48"/>
      <c r="N16" s="203"/>
      <c r="P16" s="58"/>
      <c r="Q16" s="58"/>
      <c r="R16" s="58"/>
    </row>
    <row r="17" spans="1:18" s="21" customFormat="1" ht="18" x14ac:dyDescent="0.35">
      <c r="A17" s="75">
        <f>IF(F17&lt;&gt;"",(LARGE(A$7:A15,1)+1),"")</f>
        <v>3</v>
      </c>
      <c r="B17" s="152" t="s">
        <v>424</v>
      </c>
      <c r="C17" s="146">
        <v>2</v>
      </c>
      <c r="D17" s="51" t="s">
        <v>12</v>
      </c>
      <c r="E17" s="48">
        <f t="shared" si="5"/>
        <v>132.80000000000001</v>
      </c>
      <c r="F17" s="203">
        <f t="shared" si="6"/>
        <v>265.60000000000002</v>
      </c>
      <c r="G17" s="48">
        <v>45</v>
      </c>
      <c r="H17" s="48">
        <v>87.8</v>
      </c>
      <c r="I17" s="48">
        <f>IF(D17=0," ",(G17)*(Details!$C$4+Details!$C$8))</f>
        <v>6.7500000000000009</v>
      </c>
      <c r="J17" s="203">
        <f>IF(D17=0," ",(H17)*(Details!$C$6+Details!$C$8))</f>
        <v>13.170000000000002</v>
      </c>
      <c r="K17" s="59">
        <f t="shared" si="7"/>
        <v>90</v>
      </c>
      <c r="L17" s="48">
        <f t="shared" si="8"/>
        <v>175.6</v>
      </c>
      <c r="M17" s="48">
        <f t="shared" si="9"/>
        <v>13.500000000000002</v>
      </c>
      <c r="N17" s="203">
        <f t="shared" si="10"/>
        <v>26.340000000000003</v>
      </c>
      <c r="P17" s="58"/>
      <c r="Q17" s="58"/>
      <c r="R17" s="58"/>
    </row>
    <row r="18" spans="1:18" s="21" customFormat="1" ht="18" x14ac:dyDescent="0.35">
      <c r="A18" s="75"/>
      <c r="B18" s="152"/>
      <c r="C18" s="146"/>
      <c r="D18" s="51"/>
      <c r="E18" s="48"/>
      <c r="F18" s="203"/>
      <c r="G18" s="48"/>
      <c r="H18" s="48"/>
      <c r="I18" s="48"/>
      <c r="J18" s="203"/>
      <c r="K18" s="59"/>
      <c r="L18" s="48"/>
      <c r="M18" s="48"/>
      <c r="N18" s="203"/>
      <c r="P18" s="58"/>
      <c r="Q18" s="58"/>
      <c r="R18" s="58"/>
    </row>
    <row r="19" spans="1:18" s="21" customFormat="1" ht="18" x14ac:dyDescent="0.35">
      <c r="A19" s="75">
        <f>IF(F19&lt;&gt;"",(LARGE(A$7:A17,1)+1),"")</f>
        <v>4</v>
      </c>
      <c r="B19" s="152" t="s">
        <v>425</v>
      </c>
      <c r="C19" s="146">
        <v>4</v>
      </c>
      <c r="D19" s="51" t="s">
        <v>12</v>
      </c>
      <c r="E19" s="48">
        <f t="shared" si="5"/>
        <v>143.80000000000001</v>
      </c>
      <c r="F19" s="203">
        <f t="shared" si="6"/>
        <v>575.20000000000005</v>
      </c>
      <c r="G19" s="48">
        <v>45</v>
      </c>
      <c r="H19" s="48">
        <v>98.8</v>
      </c>
      <c r="I19" s="48">
        <f>IF(D19=0," ",(G19)*(Details!$C$4+Details!$C$8))</f>
        <v>6.7500000000000009</v>
      </c>
      <c r="J19" s="203">
        <f>IF(D19=0," ",(H19)*(Details!$C$6+Details!$C$8))</f>
        <v>14.820000000000002</v>
      </c>
      <c r="K19" s="59">
        <f t="shared" si="7"/>
        <v>180</v>
      </c>
      <c r="L19" s="48">
        <f t="shared" si="8"/>
        <v>395.2</v>
      </c>
      <c r="M19" s="48">
        <f t="shared" si="9"/>
        <v>27.000000000000004</v>
      </c>
      <c r="N19" s="203">
        <f t="shared" si="10"/>
        <v>59.280000000000008</v>
      </c>
      <c r="P19" s="58"/>
      <c r="Q19" s="58"/>
      <c r="R19" s="58"/>
    </row>
    <row r="20" spans="1:18" s="21" customFormat="1" ht="18" x14ac:dyDescent="0.35">
      <c r="A20" s="75"/>
      <c r="B20" s="152"/>
      <c r="C20" s="146"/>
      <c r="D20" s="51"/>
      <c r="E20" s="48"/>
      <c r="F20" s="203"/>
      <c r="G20" s="48"/>
      <c r="H20" s="48"/>
      <c r="I20" s="48"/>
      <c r="J20" s="203"/>
      <c r="K20" s="59"/>
      <c r="L20" s="48"/>
      <c r="M20" s="48"/>
      <c r="N20" s="203"/>
      <c r="P20" s="58"/>
      <c r="Q20" s="58"/>
      <c r="R20" s="58"/>
    </row>
    <row r="21" spans="1:18" s="21" customFormat="1" ht="18" x14ac:dyDescent="0.35">
      <c r="A21" s="75">
        <f>IF(F21&lt;&gt;"",(LARGE(A$7:A19,1)+1),"")</f>
        <v>5</v>
      </c>
      <c r="B21" s="152" t="s">
        <v>426</v>
      </c>
      <c r="C21" s="146">
        <v>6</v>
      </c>
      <c r="D21" s="51" t="s">
        <v>12</v>
      </c>
      <c r="E21" s="48">
        <f t="shared" si="5"/>
        <v>139.5</v>
      </c>
      <c r="F21" s="203">
        <f t="shared" si="6"/>
        <v>837</v>
      </c>
      <c r="G21" s="48">
        <v>45</v>
      </c>
      <c r="H21" s="48">
        <v>94.5</v>
      </c>
      <c r="I21" s="48">
        <f>IF(D21=0," ",(G21)*(Details!$C$4+Details!$C$8))</f>
        <v>6.7500000000000009</v>
      </c>
      <c r="J21" s="203">
        <f>IF(D21=0," ",(H21)*(Details!$C$6+Details!$C$8))</f>
        <v>14.175000000000002</v>
      </c>
      <c r="K21" s="59">
        <f t="shared" si="7"/>
        <v>270</v>
      </c>
      <c r="L21" s="48">
        <f t="shared" si="8"/>
        <v>567</v>
      </c>
      <c r="M21" s="48">
        <f t="shared" si="9"/>
        <v>40.500000000000007</v>
      </c>
      <c r="N21" s="203">
        <f t="shared" si="10"/>
        <v>85.050000000000011</v>
      </c>
      <c r="P21" s="58"/>
      <c r="Q21" s="58"/>
      <c r="R21" s="58"/>
    </row>
    <row r="22" spans="1:18" s="21" customFormat="1" ht="18" x14ac:dyDescent="0.35">
      <c r="A22" s="75"/>
      <c r="B22" s="152"/>
      <c r="C22" s="146"/>
      <c r="D22" s="51"/>
      <c r="E22" s="48"/>
      <c r="F22" s="203"/>
      <c r="G22" s="48"/>
      <c r="H22" s="48"/>
      <c r="I22" s="48"/>
      <c r="J22" s="203"/>
      <c r="K22" s="59"/>
      <c r="L22" s="48"/>
      <c r="M22" s="48"/>
      <c r="N22" s="203"/>
      <c r="P22" s="58"/>
      <c r="Q22" s="58"/>
      <c r="R22" s="58"/>
    </row>
    <row r="23" spans="1:18" s="21" customFormat="1" ht="18" x14ac:dyDescent="0.35">
      <c r="A23" s="75">
        <f>IF(F23&lt;&gt;"",(LARGE(A$7:A21,1)+1),"")</f>
        <v>6</v>
      </c>
      <c r="B23" s="152" t="s">
        <v>427</v>
      </c>
      <c r="C23" s="146">
        <v>7</v>
      </c>
      <c r="D23" s="51" t="s">
        <v>12</v>
      </c>
      <c r="E23" s="48">
        <f t="shared" si="5"/>
        <v>194</v>
      </c>
      <c r="F23" s="203">
        <f t="shared" si="6"/>
        <v>1358</v>
      </c>
      <c r="G23" s="48">
        <v>60</v>
      </c>
      <c r="H23" s="48">
        <v>134</v>
      </c>
      <c r="I23" s="48">
        <f>IF(D23=0," ",(G23)*(Details!$C$4+Details!$C$8))</f>
        <v>9.0000000000000018</v>
      </c>
      <c r="J23" s="203">
        <f>IF(D23=0," ",(H23)*(Details!$C$6+Details!$C$8))</f>
        <v>20.100000000000001</v>
      </c>
      <c r="K23" s="59">
        <f t="shared" si="7"/>
        <v>420</v>
      </c>
      <c r="L23" s="48">
        <f t="shared" si="8"/>
        <v>938</v>
      </c>
      <c r="M23" s="48">
        <f t="shared" si="9"/>
        <v>63.000000000000014</v>
      </c>
      <c r="N23" s="203">
        <f t="shared" si="10"/>
        <v>140.70000000000002</v>
      </c>
      <c r="P23" s="58"/>
      <c r="Q23" s="58"/>
      <c r="R23" s="58"/>
    </row>
    <row r="24" spans="1:18" s="21" customFormat="1" ht="18" x14ac:dyDescent="0.35">
      <c r="A24" s="75"/>
      <c r="B24" s="152"/>
      <c r="C24" s="146"/>
      <c r="D24" s="51"/>
      <c r="E24" s="48"/>
      <c r="F24" s="203"/>
      <c r="G24" s="48"/>
      <c r="H24" s="48"/>
      <c r="I24" s="48"/>
      <c r="J24" s="203"/>
      <c r="K24" s="59"/>
      <c r="L24" s="48"/>
      <c r="M24" s="48"/>
      <c r="N24" s="203"/>
      <c r="P24" s="58"/>
      <c r="Q24" s="58"/>
      <c r="R24" s="58"/>
    </row>
    <row r="25" spans="1:18" s="21" customFormat="1" ht="18" x14ac:dyDescent="0.35">
      <c r="A25" s="75">
        <f>IF(F25&lt;&gt;"",(LARGE(A$7:A23,1)+1),"")</f>
        <v>7</v>
      </c>
      <c r="B25" s="152" t="s">
        <v>428</v>
      </c>
      <c r="C25" s="146">
        <v>10</v>
      </c>
      <c r="D25" s="51" t="s">
        <v>12</v>
      </c>
      <c r="E25" s="48">
        <f t="shared" si="5"/>
        <v>167</v>
      </c>
      <c r="F25" s="203">
        <f t="shared" si="6"/>
        <v>1670</v>
      </c>
      <c r="G25" s="48">
        <v>45</v>
      </c>
      <c r="H25" s="48">
        <v>122</v>
      </c>
      <c r="I25" s="48">
        <f>IF(D25=0," ",(G25)*(Details!$C$4+Details!$C$8))</f>
        <v>6.7500000000000009</v>
      </c>
      <c r="J25" s="203">
        <f>IF(D25=0," ",(H25)*(Details!$C$6+Details!$C$8))</f>
        <v>18.300000000000004</v>
      </c>
      <c r="K25" s="59">
        <f t="shared" si="7"/>
        <v>450</v>
      </c>
      <c r="L25" s="48">
        <f t="shared" si="8"/>
        <v>1220</v>
      </c>
      <c r="M25" s="48">
        <f t="shared" si="9"/>
        <v>67.500000000000014</v>
      </c>
      <c r="N25" s="203">
        <f t="shared" si="10"/>
        <v>183.00000000000006</v>
      </c>
      <c r="P25" s="58"/>
      <c r="Q25" s="58"/>
      <c r="R25" s="58"/>
    </row>
    <row r="26" spans="1:18" s="21" customFormat="1" ht="18" x14ac:dyDescent="0.35">
      <c r="A26" s="75"/>
      <c r="B26" s="152"/>
      <c r="C26" s="146"/>
      <c r="D26" s="51"/>
      <c r="E26" s="48"/>
      <c r="F26" s="203"/>
      <c r="G26" s="48"/>
      <c r="H26" s="48"/>
      <c r="I26" s="48"/>
      <c r="J26" s="203"/>
      <c r="K26" s="59"/>
      <c r="L26" s="48"/>
      <c r="M26" s="48"/>
      <c r="N26" s="203"/>
      <c r="P26" s="58"/>
      <c r="Q26" s="58"/>
      <c r="R26" s="58"/>
    </row>
    <row r="27" spans="1:18" s="21" customFormat="1" ht="18" x14ac:dyDescent="0.35">
      <c r="A27" s="75">
        <f>IF(F27&lt;&gt;"",(LARGE(A$7:A25,1)+1),"")</f>
        <v>8</v>
      </c>
      <c r="B27" s="152" t="s">
        <v>429</v>
      </c>
      <c r="C27" s="146">
        <v>1</v>
      </c>
      <c r="D27" s="51" t="s">
        <v>12</v>
      </c>
      <c r="E27" s="48">
        <f t="shared" si="5"/>
        <v>270</v>
      </c>
      <c r="F27" s="203">
        <f t="shared" si="6"/>
        <v>270</v>
      </c>
      <c r="G27" s="48">
        <v>60</v>
      </c>
      <c r="H27" s="48">
        <v>210</v>
      </c>
      <c r="I27" s="48">
        <f>IF(D27=0," ",(G27)*(Details!$C$4+Details!$C$8))</f>
        <v>9.0000000000000018</v>
      </c>
      <c r="J27" s="203">
        <f>IF(D27=0," ",(H27)*(Details!$C$6+Details!$C$8))</f>
        <v>31.500000000000004</v>
      </c>
      <c r="K27" s="59">
        <f t="shared" si="7"/>
        <v>60</v>
      </c>
      <c r="L27" s="48">
        <f t="shared" si="8"/>
        <v>210</v>
      </c>
      <c r="M27" s="48">
        <f t="shared" si="9"/>
        <v>9.0000000000000018</v>
      </c>
      <c r="N27" s="203">
        <f t="shared" si="10"/>
        <v>31.500000000000004</v>
      </c>
      <c r="P27" s="58"/>
      <c r="Q27" s="58"/>
      <c r="R27" s="58"/>
    </row>
    <row r="28" spans="1:18" s="21" customFormat="1" ht="18" x14ac:dyDescent="0.35">
      <c r="A28" s="75" t="str">
        <f>IF(F28&lt;&gt;"",(LARGE(A$7:A27,1)+1),"")</f>
        <v/>
      </c>
      <c r="B28" s="152"/>
      <c r="C28" s="146"/>
      <c r="D28" s="51"/>
      <c r="E28" s="48"/>
      <c r="F28" s="203"/>
      <c r="G28" s="59"/>
      <c r="H28" s="48"/>
      <c r="I28" s="48"/>
      <c r="J28" s="203"/>
      <c r="K28" s="218"/>
      <c r="L28" s="20"/>
      <c r="M28" s="20"/>
      <c r="N28" s="203"/>
      <c r="P28" s="58"/>
      <c r="Q28" s="58"/>
      <c r="R28" s="58"/>
    </row>
    <row r="29" spans="1:18" s="21" customFormat="1" ht="18" x14ac:dyDescent="0.35">
      <c r="A29" s="75" t="str">
        <f>IF(F29&lt;&gt;"",(LARGE(A$7:A28,1)+1),"")</f>
        <v/>
      </c>
      <c r="B29" s="161" t="s">
        <v>430</v>
      </c>
      <c r="C29" s="146"/>
      <c r="D29" s="51"/>
      <c r="E29" s="48"/>
      <c r="F29" s="203"/>
      <c r="G29" s="59"/>
      <c r="H29" s="48"/>
      <c r="I29" s="48"/>
      <c r="J29" s="203"/>
      <c r="K29" s="218"/>
      <c r="L29" s="20"/>
      <c r="M29" s="20"/>
      <c r="N29" s="203"/>
      <c r="P29" s="58"/>
      <c r="Q29" s="58"/>
      <c r="R29" s="58"/>
    </row>
    <row r="30" spans="1:18" s="21" customFormat="1" ht="18" x14ac:dyDescent="0.35">
      <c r="A30" s="75"/>
      <c r="B30" s="161"/>
      <c r="C30" s="146"/>
      <c r="D30" s="51"/>
      <c r="E30" s="48"/>
      <c r="F30" s="203"/>
      <c r="G30" s="48"/>
      <c r="H30" s="48"/>
      <c r="I30" s="48"/>
      <c r="J30" s="203"/>
      <c r="K30" s="218"/>
      <c r="L30" s="20"/>
      <c r="M30" s="20"/>
      <c r="N30" s="203"/>
      <c r="P30" s="58"/>
      <c r="Q30" s="58"/>
      <c r="R30" s="58"/>
    </row>
    <row r="31" spans="1:18" s="21" customFormat="1" ht="18" x14ac:dyDescent="0.35">
      <c r="A31" s="75">
        <f>IF(F31&lt;&gt;"",(LARGE(A$7:A29,1)+1),"")</f>
        <v>9</v>
      </c>
      <c r="B31" s="152" t="s">
        <v>431</v>
      </c>
      <c r="C31" s="146">
        <v>2</v>
      </c>
      <c r="D31" s="51" t="s">
        <v>12</v>
      </c>
      <c r="E31" s="48">
        <f t="shared" ref="E31" si="11">G31+H31</f>
        <v>86.8</v>
      </c>
      <c r="F31" s="203">
        <f t="shared" ref="F31" si="12">E31*C31</f>
        <v>173.6</v>
      </c>
      <c r="G31" s="48">
        <v>30</v>
      </c>
      <c r="H31" s="48">
        <v>56.8</v>
      </c>
      <c r="I31" s="48">
        <f>IF(D31=0," ",(G31)*(Details!$C$4+Details!$C$8))</f>
        <v>4.5000000000000009</v>
      </c>
      <c r="J31" s="203">
        <f>IF(D31=0," ",(H31)*(Details!$C$6+Details!$C$8))</f>
        <v>8.5200000000000014</v>
      </c>
      <c r="K31" s="59">
        <f t="shared" ref="K31:K37" si="13">+G31*C31</f>
        <v>60</v>
      </c>
      <c r="L31" s="48">
        <f t="shared" ref="L31:L37" si="14">+H31*C31</f>
        <v>113.6</v>
      </c>
      <c r="M31" s="48">
        <f t="shared" ref="M31:M37" si="15">IF(D31=0," ",(I31*C31))</f>
        <v>9.0000000000000018</v>
      </c>
      <c r="N31" s="203">
        <f t="shared" ref="N31:N37" si="16">IF(D31=0," ",(J31*C31))</f>
        <v>17.040000000000003</v>
      </c>
      <c r="P31" s="58"/>
      <c r="Q31" s="58"/>
      <c r="R31" s="58"/>
    </row>
    <row r="32" spans="1:18" s="21" customFormat="1" ht="18" x14ac:dyDescent="0.35">
      <c r="A32" s="75"/>
      <c r="B32" s="152"/>
      <c r="C32" s="146"/>
      <c r="D32" s="51"/>
      <c r="E32" s="48"/>
      <c r="F32" s="203"/>
      <c r="G32" s="48"/>
      <c r="H32" s="48"/>
      <c r="I32" s="48"/>
      <c r="J32" s="203"/>
      <c r="K32" s="59"/>
      <c r="L32" s="48"/>
      <c r="M32" s="48"/>
      <c r="N32" s="203"/>
      <c r="P32" s="58"/>
      <c r="Q32" s="58"/>
      <c r="R32" s="58"/>
    </row>
    <row r="33" spans="1:18" s="21" customFormat="1" ht="18" x14ac:dyDescent="0.35">
      <c r="A33" s="75">
        <f>IF(F33&lt;&gt;"",(LARGE(A$7:A31,1)+1),"")</f>
        <v>10</v>
      </c>
      <c r="B33" s="152" t="s">
        <v>432</v>
      </c>
      <c r="C33" s="146">
        <v>3</v>
      </c>
      <c r="D33" s="51" t="s">
        <v>12</v>
      </c>
      <c r="E33" s="48">
        <f t="shared" ref="E33:E37" si="17">G33+H33</f>
        <v>84.8</v>
      </c>
      <c r="F33" s="203">
        <f t="shared" ref="F33:F37" si="18">E33*C33</f>
        <v>254.39999999999998</v>
      </c>
      <c r="G33" s="48">
        <v>30</v>
      </c>
      <c r="H33" s="48">
        <v>54.8</v>
      </c>
      <c r="I33" s="48">
        <f>IF(D33=0," ",(G33)*(Details!$C$4+Details!$C$8))</f>
        <v>4.5000000000000009</v>
      </c>
      <c r="J33" s="203">
        <f>IF(D33=0," ",(H33)*(Details!$C$6+Details!$C$8))</f>
        <v>8.2200000000000006</v>
      </c>
      <c r="K33" s="59">
        <f t="shared" si="13"/>
        <v>90</v>
      </c>
      <c r="L33" s="48">
        <f t="shared" si="14"/>
        <v>164.39999999999998</v>
      </c>
      <c r="M33" s="48">
        <f t="shared" si="15"/>
        <v>13.500000000000004</v>
      </c>
      <c r="N33" s="203">
        <f t="shared" si="16"/>
        <v>24.660000000000004</v>
      </c>
      <c r="P33" s="58"/>
      <c r="Q33" s="58"/>
      <c r="R33" s="58"/>
    </row>
    <row r="34" spans="1:18" s="21" customFormat="1" ht="18" x14ac:dyDescent="0.35">
      <c r="A34" s="75"/>
      <c r="B34" s="152"/>
      <c r="C34" s="146"/>
      <c r="D34" s="51"/>
      <c r="E34" s="48"/>
      <c r="F34" s="203"/>
      <c r="G34" s="48"/>
      <c r="H34" s="48"/>
      <c r="I34" s="48"/>
      <c r="J34" s="203"/>
      <c r="K34" s="59"/>
      <c r="L34" s="48"/>
      <c r="M34" s="48"/>
      <c r="N34" s="203"/>
      <c r="P34" s="58"/>
      <c r="Q34" s="58"/>
      <c r="R34" s="58"/>
    </row>
    <row r="35" spans="1:18" s="21" customFormat="1" ht="18" x14ac:dyDescent="0.35">
      <c r="A35" s="75">
        <f>IF(F35&lt;&gt;"",(LARGE(A$7:A33,1)+1),"")</f>
        <v>11</v>
      </c>
      <c r="B35" s="152" t="s">
        <v>433</v>
      </c>
      <c r="C35" s="146">
        <v>25</v>
      </c>
      <c r="D35" s="51" t="s">
        <v>12</v>
      </c>
      <c r="E35" s="48">
        <f t="shared" si="17"/>
        <v>82.8</v>
      </c>
      <c r="F35" s="203">
        <f t="shared" si="18"/>
        <v>2070</v>
      </c>
      <c r="G35" s="48">
        <v>30</v>
      </c>
      <c r="H35" s="48">
        <v>52.8</v>
      </c>
      <c r="I35" s="48">
        <f>IF(D35=0," ",(G35)*(Details!$C$4+Details!$C$8))</f>
        <v>4.5000000000000009</v>
      </c>
      <c r="J35" s="203">
        <f>IF(D35=0," ",(H35)*(Details!$C$6+Details!$C$8))</f>
        <v>7.9200000000000008</v>
      </c>
      <c r="K35" s="59">
        <f t="shared" si="13"/>
        <v>750</v>
      </c>
      <c r="L35" s="48">
        <f t="shared" si="14"/>
        <v>1320</v>
      </c>
      <c r="M35" s="48">
        <f t="shared" si="15"/>
        <v>112.50000000000003</v>
      </c>
      <c r="N35" s="203">
        <f t="shared" si="16"/>
        <v>198.00000000000003</v>
      </c>
      <c r="P35" s="58"/>
      <c r="Q35" s="58"/>
      <c r="R35" s="58"/>
    </row>
    <row r="36" spans="1:18" s="21" customFormat="1" ht="18" x14ac:dyDescent="0.35">
      <c r="A36" s="75"/>
      <c r="B36" s="152"/>
      <c r="C36" s="146"/>
      <c r="D36" s="51"/>
      <c r="E36" s="48"/>
      <c r="F36" s="203"/>
      <c r="G36" s="48"/>
      <c r="H36" s="48"/>
      <c r="I36" s="48"/>
      <c r="J36" s="203"/>
      <c r="K36" s="59"/>
      <c r="L36" s="48"/>
      <c r="M36" s="48"/>
      <c r="N36" s="203"/>
      <c r="P36" s="58"/>
      <c r="Q36" s="58"/>
      <c r="R36" s="58"/>
    </row>
    <row r="37" spans="1:18" s="21" customFormat="1" ht="18" x14ac:dyDescent="0.35">
      <c r="A37" s="75">
        <f>IF(F37&lt;&gt;"",(LARGE(A$7:A35,1)+1),"")</f>
        <v>12</v>
      </c>
      <c r="B37" s="152" t="s">
        <v>434</v>
      </c>
      <c r="C37" s="146">
        <v>2</v>
      </c>
      <c r="D37" s="51" t="s">
        <v>12</v>
      </c>
      <c r="E37" s="48">
        <f t="shared" si="17"/>
        <v>82.8</v>
      </c>
      <c r="F37" s="203">
        <f t="shared" si="18"/>
        <v>165.6</v>
      </c>
      <c r="G37" s="48">
        <v>30</v>
      </c>
      <c r="H37" s="48">
        <v>52.8</v>
      </c>
      <c r="I37" s="48">
        <f>IF(D37=0," ",(G37)*(Details!$C$4+Details!$C$8))</f>
        <v>4.5000000000000009</v>
      </c>
      <c r="J37" s="203">
        <f>IF(D37=0," ",(H37)*(Details!$C$6+Details!$C$8))</f>
        <v>7.9200000000000008</v>
      </c>
      <c r="K37" s="59">
        <f t="shared" si="13"/>
        <v>60</v>
      </c>
      <c r="L37" s="48">
        <f t="shared" si="14"/>
        <v>105.6</v>
      </c>
      <c r="M37" s="48">
        <f t="shared" si="15"/>
        <v>9.0000000000000018</v>
      </c>
      <c r="N37" s="203">
        <f t="shared" si="16"/>
        <v>15.840000000000002</v>
      </c>
      <c r="P37" s="58"/>
      <c r="Q37" s="58"/>
      <c r="R37" s="58"/>
    </row>
    <row r="38" spans="1:18" s="21" customFormat="1" ht="18" x14ac:dyDescent="0.35">
      <c r="A38" s="75" t="str">
        <f>IF(F38&lt;&gt;"",(LARGE(A$7:A37,1)+1),"")</f>
        <v/>
      </c>
      <c r="B38" s="152"/>
      <c r="C38" s="146"/>
      <c r="D38" s="51"/>
      <c r="E38" s="48"/>
      <c r="F38" s="203"/>
      <c r="G38" s="59"/>
      <c r="H38" s="48"/>
      <c r="I38" s="48"/>
      <c r="J38" s="203"/>
      <c r="K38" s="218"/>
      <c r="L38" s="20"/>
      <c r="M38" s="20"/>
      <c r="N38" s="203"/>
      <c r="P38" s="58"/>
      <c r="Q38" s="58"/>
      <c r="R38" s="58"/>
    </row>
    <row r="39" spans="1:18" s="21" customFormat="1" ht="18" x14ac:dyDescent="0.35">
      <c r="A39" s="75" t="str">
        <f>IF(F39&lt;&gt;"",(LARGE(A$7:A38,1)+1),"")</f>
        <v/>
      </c>
      <c r="B39" s="161" t="s">
        <v>435</v>
      </c>
      <c r="C39" s="146"/>
      <c r="D39" s="51"/>
      <c r="E39" s="48"/>
      <c r="F39" s="203"/>
      <c r="G39" s="59"/>
      <c r="H39" s="48"/>
      <c r="I39" s="48"/>
      <c r="J39" s="203"/>
      <c r="K39" s="218"/>
      <c r="L39" s="20"/>
      <c r="M39" s="20"/>
      <c r="N39" s="203"/>
      <c r="P39" s="58"/>
      <c r="Q39" s="58"/>
      <c r="R39" s="58"/>
    </row>
    <row r="40" spans="1:18" s="21" customFormat="1" ht="18" x14ac:dyDescent="0.35">
      <c r="A40" s="75"/>
      <c r="B40" s="161"/>
      <c r="C40" s="146"/>
      <c r="D40" s="51"/>
      <c r="E40" s="48"/>
      <c r="F40" s="203"/>
      <c r="G40" s="48"/>
      <c r="H40" s="48"/>
      <c r="I40" s="48"/>
      <c r="J40" s="203"/>
      <c r="K40" s="218"/>
      <c r="L40" s="20"/>
      <c r="M40" s="20"/>
      <c r="N40" s="203"/>
      <c r="P40" s="58"/>
      <c r="Q40" s="58"/>
      <c r="R40" s="58"/>
    </row>
    <row r="41" spans="1:18" s="21" customFormat="1" ht="18" x14ac:dyDescent="0.35">
      <c r="A41" s="75">
        <f>IF(F41&lt;&gt;"",(LARGE(A$7:A39,1)+1),"")</f>
        <v>13</v>
      </c>
      <c r="B41" s="152" t="s">
        <v>436</v>
      </c>
      <c r="C41" s="146">
        <v>22</v>
      </c>
      <c r="D41" s="51" t="s">
        <v>12</v>
      </c>
      <c r="E41" s="48">
        <f t="shared" ref="E41" si="19">G41+H41</f>
        <v>72</v>
      </c>
      <c r="F41" s="203">
        <f t="shared" ref="F41" si="20">E41*C41</f>
        <v>1584</v>
      </c>
      <c r="G41" s="48">
        <v>30</v>
      </c>
      <c r="H41" s="48">
        <v>42</v>
      </c>
      <c r="I41" s="48">
        <f>IF(D41=0," ",(G41)*(Details!$C$4+Details!$C$8))</f>
        <v>4.5000000000000009</v>
      </c>
      <c r="J41" s="203">
        <f>IF(D41=0," ",(H41)*(Details!$C$6+Details!$C$8))</f>
        <v>6.3000000000000007</v>
      </c>
      <c r="K41" s="59">
        <f t="shared" ref="K41:K43" si="21">+G41*C41</f>
        <v>660</v>
      </c>
      <c r="L41" s="48">
        <f t="shared" ref="L41:L43" si="22">+H41*C41</f>
        <v>924</v>
      </c>
      <c r="M41" s="48">
        <f t="shared" ref="M41:M43" si="23">IF(D41=0," ",(I41*C41))</f>
        <v>99.000000000000014</v>
      </c>
      <c r="N41" s="203">
        <f t="shared" ref="N41:N43" si="24">IF(D41=0," ",(J41*C41))</f>
        <v>138.60000000000002</v>
      </c>
      <c r="P41" s="58"/>
      <c r="Q41" s="58"/>
      <c r="R41" s="58"/>
    </row>
    <row r="42" spans="1:18" s="21" customFormat="1" ht="18" x14ac:dyDescent="0.35">
      <c r="A42" s="75"/>
      <c r="B42" s="152"/>
      <c r="C42" s="146"/>
      <c r="D42" s="51"/>
      <c r="E42" s="48"/>
      <c r="F42" s="203"/>
      <c r="G42" s="48"/>
      <c r="H42" s="48"/>
      <c r="I42" s="48"/>
      <c r="J42" s="203"/>
      <c r="K42" s="59"/>
      <c r="L42" s="48"/>
      <c r="M42" s="48"/>
      <c r="N42" s="203"/>
      <c r="P42" s="58"/>
      <c r="Q42" s="58"/>
      <c r="R42" s="58"/>
    </row>
    <row r="43" spans="1:18" s="21" customFormat="1" ht="18" x14ac:dyDescent="0.35">
      <c r="A43" s="75">
        <f>IF(F43&lt;&gt;"",(LARGE(A$7:A41,1)+1),"")</f>
        <v>14</v>
      </c>
      <c r="B43" s="152" t="s">
        <v>437</v>
      </c>
      <c r="C43" s="146">
        <v>1</v>
      </c>
      <c r="D43" s="51" t="s">
        <v>12</v>
      </c>
      <c r="E43" s="48">
        <f t="shared" ref="E43" si="25">G43+H43</f>
        <v>78</v>
      </c>
      <c r="F43" s="203">
        <f t="shared" ref="F43" si="26">E43*C43</f>
        <v>78</v>
      </c>
      <c r="G43" s="48">
        <v>30</v>
      </c>
      <c r="H43" s="48">
        <v>48</v>
      </c>
      <c r="I43" s="48">
        <f>IF(D43=0," ",(G43)*(Details!$C$4+Details!$C$8))</f>
        <v>4.5000000000000009</v>
      </c>
      <c r="J43" s="203">
        <f>IF(D43=0," ",(H43)*(Details!$C$6+Details!$C$8))</f>
        <v>7.2000000000000011</v>
      </c>
      <c r="K43" s="59">
        <f t="shared" si="21"/>
        <v>30</v>
      </c>
      <c r="L43" s="48">
        <f t="shared" si="22"/>
        <v>48</v>
      </c>
      <c r="M43" s="48">
        <f t="shared" si="23"/>
        <v>4.5000000000000009</v>
      </c>
      <c r="N43" s="203">
        <f t="shared" si="24"/>
        <v>7.2000000000000011</v>
      </c>
      <c r="P43" s="58"/>
      <c r="Q43" s="58"/>
      <c r="R43" s="58"/>
    </row>
    <row r="44" spans="1:18" s="21" customFormat="1" ht="18" x14ac:dyDescent="0.35">
      <c r="A44" s="75" t="str">
        <f>IF(F44&lt;&gt;"",(LARGE(A$7:A43,1)+1),"")</f>
        <v/>
      </c>
      <c r="B44" s="152"/>
      <c r="C44" s="146"/>
      <c r="D44" s="51"/>
      <c r="E44" s="48"/>
      <c r="F44" s="203"/>
      <c r="G44" s="59"/>
      <c r="H44" s="48"/>
      <c r="I44" s="48"/>
      <c r="J44" s="203"/>
      <c r="K44" s="218"/>
      <c r="L44" s="20"/>
      <c r="M44" s="20"/>
      <c r="N44" s="203"/>
      <c r="P44" s="58"/>
      <c r="Q44" s="58"/>
      <c r="R44" s="58"/>
    </row>
    <row r="45" spans="1:18" s="21" customFormat="1" ht="18" x14ac:dyDescent="0.35">
      <c r="A45" s="75" t="str">
        <f>IF(F45&lt;&gt;"",(LARGE(A$7:A44,1)+1),"")</f>
        <v/>
      </c>
      <c r="B45" s="161" t="s">
        <v>438</v>
      </c>
      <c r="C45" s="146"/>
      <c r="D45" s="51"/>
      <c r="E45" s="48"/>
      <c r="F45" s="203"/>
      <c r="G45" s="59"/>
      <c r="H45" s="48"/>
      <c r="I45" s="48"/>
      <c r="J45" s="203"/>
      <c r="K45" s="218"/>
      <c r="L45" s="20"/>
      <c r="M45" s="20"/>
      <c r="N45" s="203"/>
      <c r="P45" s="58"/>
      <c r="Q45" s="58"/>
      <c r="R45" s="58"/>
    </row>
    <row r="46" spans="1:18" s="21" customFormat="1" ht="18" x14ac:dyDescent="0.35">
      <c r="A46" s="75"/>
      <c r="B46" s="161"/>
      <c r="C46" s="146"/>
      <c r="D46" s="51"/>
      <c r="E46" s="48"/>
      <c r="F46" s="203"/>
      <c r="G46" s="48"/>
      <c r="H46" s="48"/>
      <c r="I46" s="48"/>
      <c r="J46" s="203"/>
      <c r="K46" s="218"/>
      <c r="L46" s="20"/>
      <c r="M46" s="20"/>
      <c r="N46" s="203"/>
      <c r="P46" s="58"/>
      <c r="Q46" s="58"/>
      <c r="R46" s="58"/>
    </row>
    <row r="47" spans="1:18" s="21" customFormat="1" ht="18" x14ac:dyDescent="0.35">
      <c r="A47" s="75">
        <f>IF(F47&lt;&gt;"",(LARGE(A$7:A45,1)+1),"")</f>
        <v>15</v>
      </c>
      <c r="B47" s="152" t="s">
        <v>439</v>
      </c>
      <c r="C47" s="146">
        <v>145</v>
      </c>
      <c r="D47" s="51" t="s">
        <v>13</v>
      </c>
      <c r="E47" s="48">
        <f t="shared" ref="E47" si="27">G47+H47</f>
        <v>5.2</v>
      </c>
      <c r="F47" s="203">
        <f t="shared" ref="F47" si="28">E47*C47</f>
        <v>754</v>
      </c>
      <c r="G47" s="48">
        <v>2</v>
      </c>
      <c r="H47" s="48">
        <v>3.2</v>
      </c>
      <c r="I47" s="48">
        <f>IF(D47=0," ",(G47)*(Details!$C$4+Details!$C$8))</f>
        <v>0.30000000000000004</v>
      </c>
      <c r="J47" s="203">
        <f>IF(D47=0," ",(H47)*(Details!$C$6+Details!$C$8))</f>
        <v>0.48000000000000009</v>
      </c>
      <c r="K47" s="59">
        <f t="shared" ref="K47" si="29">+G47*C47</f>
        <v>290</v>
      </c>
      <c r="L47" s="48">
        <f t="shared" ref="L47" si="30">+H47*C47</f>
        <v>464</v>
      </c>
      <c r="M47" s="48">
        <f t="shared" ref="M47" si="31">IF(D47=0," ",(I47*C47))</f>
        <v>43.500000000000007</v>
      </c>
      <c r="N47" s="203">
        <f t="shared" ref="N47" si="32">IF(D47=0," ",(J47*C47))</f>
        <v>69.600000000000009</v>
      </c>
      <c r="P47" s="58"/>
      <c r="Q47" s="58"/>
      <c r="R47" s="58"/>
    </row>
    <row r="48" spans="1:18" s="21" customFormat="1" ht="18" x14ac:dyDescent="0.35">
      <c r="A48" s="75" t="str">
        <f>IF(F48&lt;&gt;"",(LARGE(A$7:A47,1)+1),"")</f>
        <v/>
      </c>
      <c r="B48" s="152"/>
      <c r="C48" s="146"/>
      <c r="D48" s="51"/>
      <c r="E48" s="48"/>
      <c r="F48" s="203"/>
      <c r="G48" s="59"/>
      <c r="H48" s="48"/>
      <c r="I48" s="48"/>
      <c r="J48" s="203"/>
      <c r="K48" s="218"/>
      <c r="L48" s="20"/>
      <c r="M48" s="20"/>
      <c r="N48" s="203"/>
      <c r="P48" s="58"/>
      <c r="Q48" s="58"/>
      <c r="R48" s="58"/>
    </row>
    <row r="49" spans="1:18" s="21" customFormat="1" ht="18" x14ac:dyDescent="0.35">
      <c r="A49" s="75" t="str">
        <f>IF(F49&lt;&gt;"",(LARGE(A$7:A48,1)+1),"")</f>
        <v/>
      </c>
      <c r="B49" s="161" t="s">
        <v>224</v>
      </c>
      <c r="C49" s="146"/>
      <c r="D49" s="51"/>
      <c r="E49" s="48"/>
      <c r="F49" s="203"/>
      <c r="G49" s="59"/>
      <c r="H49" s="48"/>
      <c r="I49" s="48"/>
      <c r="J49" s="203"/>
      <c r="K49" s="218"/>
      <c r="L49" s="20"/>
      <c r="M49" s="20"/>
      <c r="N49" s="203"/>
      <c r="P49" s="58"/>
      <c r="Q49" s="58"/>
      <c r="R49" s="58"/>
    </row>
    <row r="50" spans="1:18" s="21" customFormat="1" ht="18" x14ac:dyDescent="0.35">
      <c r="A50" s="75"/>
      <c r="B50" s="161"/>
      <c r="C50" s="146"/>
      <c r="D50" s="51"/>
      <c r="E50" s="48"/>
      <c r="F50" s="203"/>
      <c r="G50" s="59"/>
      <c r="H50" s="48"/>
      <c r="I50" s="48"/>
      <c r="J50" s="203"/>
      <c r="K50" s="218"/>
      <c r="L50" s="20"/>
      <c r="M50" s="20"/>
      <c r="N50" s="203"/>
      <c r="P50" s="58"/>
      <c r="Q50" s="58"/>
      <c r="R50" s="58"/>
    </row>
    <row r="51" spans="1:18" s="21" customFormat="1" ht="18" x14ac:dyDescent="0.35">
      <c r="A51" s="75">
        <f>IF(F51&lt;&gt;"",(LARGE(A$7:A49,1)+1),"")</f>
        <v>16</v>
      </c>
      <c r="B51" s="152" t="s">
        <v>440</v>
      </c>
      <c r="C51" s="146">
        <v>1</v>
      </c>
      <c r="D51" s="51" t="s">
        <v>11</v>
      </c>
      <c r="E51" s="48">
        <f t="shared" ref="E51" si="33">G51+H51</f>
        <v>350</v>
      </c>
      <c r="F51" s="203">
        <f t="shared" ref="F51" si="34">E51*C51</f>
        <v>350</v>
      </c>
      <c r="G51" s="59">
        <v>350</v>
      </c>
      <c r="H51" s="48"/>
      <c r="I51" s="48">
        <f>IF(D51=0," ",(G51)*(Details!$C$4+Details!$C$8))</f>
        <v>52.500000000000007</v>
      </c>
      <c r="J51" s="203">
        <f>IF(D51=0," ",(H51)*(Details!$C$6+Details!$C$8))</f>
        <v>0</v>
      </c>
      <c r="K51" s="59">
        <f>+G51*C51</f>
        <v>350</v>
      </c>
      <c r="L51" s="48">
        <f>+H51*C51</f>
        <v>0</v>
      </c>
      <c r="M51" s="48">
        <f>IF(D51=0," ",(I51*C51))</f>
        <v>52.500000000000007</v>
      </c>
      <c r="N51" s="203">
        <f>IF(D51=0," ",(J51*C51))</f>
        <v>0</v>
      </c>
      <c r="P51" s="58"/>
      <c r="Q51" s="58"/>
      <c r="R51" s="58"/>
    </row>
    <row r="52" spans="1:18" s="21" customFormat="1" ht="18" x14ac:dyDescent="0.35">
      <c r="A52" s="75" t="str">
        <f>IF(F52&lt;&gt;"",(LARGE(A$7:A51,1)+1),"")</f>
        <v/>
      </c>
      <c r="B52" s="152"/>
      <c r="C52" s="146"/>
      <c r="D52" s="51"/>
      <c r="E52" s="48"/>
      <c r="F52" s="203"/>
      <c r="G52" s="59"/>
      <c r="H52" s="48"/>
      <c r="I52" s="48"/>
      <c r="J52" s="203"/>
      <c r="K52" s="218"/>
      <c r="L52" s="20"/>
      <c r="M52" s="20"/>
      <c r="N52" s="203"/>
      <c r="P52" s="58"/>
      <c r="Q52" s="58"/>
      <c r="R52" s="58"/>
    </row>
    <row r="53" spans="1:18" s="21" customFormat="1" ht="18" x14ac:dyDescent="0.35">
      <c r="A53" s="75" t="str">
        <f>IF(F53&lt;&gt;"",(LARGE(A$7:A52,1)+1),"")</f>
        <v/>
      </c>
      <c r="B53" s="168" t="s">
        <v>49</v>
      </c>
      <c r="C53" s="146"/>
      <c r="D53" s="60"/>
      <c r="E53" s="48"/>
      <c r="F53" s="203"/>
      <c r="G53" s="59"/>
      <c r="H53" s="48"/>
      <c r="I53" s="48"/>
      <c r="J53" s="203"/>
      <c r="K53" s="218"/>
      <c r="L53" s="20"/>
      <c r="M53" s="20"/>
      <c r="N53" s="203"/>
    </row>
    <row r="54" spans="1:18" s="21" customFormat="1" ht="18" x14ac:dyDescent="0.35">
      <c r="A54" s="75" t="str">
        <f>IF(F54&lt;&gt;"",(LARGE(A$7:A53,1)+1),"")</f>
        <v/>
      </c>
      <c r="B54" s="168"/>
      <c r="C54" s="146"/>
      <c r="D54" s="60"/>
      <c r="E54" s="48"/>
      <c r="F54" s="203"/>
      <c r="G54" s="59"/>
      <c r="H54" s="48"/>
      <c r="I54" s="48"/>
      <c r="J54" s="203"/>
      <c r="K54" s="218"/>
      <c r="L54" s="20"/>
      <c r="M54" s="20"/>
      <c r="N54" s="203"/>
    </row>
    <row r="55" spans="1:18" s="21" customFormat="1" ht="18" x14ac:dyDescent="0.35">
      <c r="A55" s="75">
        <f>IF(F55&lt;&gt;"",(LARGE(A$7:A54,1)+1),"")</f>
        <v>17</v>
      </c>
      <c r="B55" s="153" t="s">
        <v>23</v>
      </c>
      <c r="C55" s="146">
        <v>1</v>
      </c>
      <c r="D55" s="51" t="s">
        <v>11</v>
      </c>
      <c r="E55" s="48">
        <f t="shared" ref="E55" si="35">G55+H55</f>
        <v>350</v>
      </c>
      <c r="F55" s="203">
        <f t="shared" ref="F55" si="36">E55*C55</f>
        <v>350</v>
      </c>
      <c r="G55" s="59">
        <v>350</v>
      </c>
      <c r="H55" s="48"/>
      <c r="I55" s="48">
        <f>IF(D55=0," ",(G55)*(Details!$C$4+Details!$C$8))</f>
        <v>52.500000000000007</v>
      </c>
      <c r="J55" s="203">
        <f>IF(D55=0," ",(H55)*(Details!$C$6+Details!$C$8))</f>
        <v>0</v>
      </c>
      <c r="K55" s="59">
        <f>+G55*C55</f>
        <v>350</v>
      </c>
      <c r="L55" s="48">
        <f>+H55*C55</f>
        <v>0</v>
      </c>
      <c r="M55" s="48">
        <f>IF(D55=0," ",(I55*C55))</f>
        <v>52.500000000000007</v>
      </c>
      <c r="N55" s="203">
        <f>IF(D55=0," ",(J55*C55))</f>
        <v>0</v>
      </c>
    </row>
    <row r="56" spans="1:18" s="21" customFormat="1" ht="18" x14ac:dyDescent="0.35">
      <c r="A56" s="75" t="str">
        <f>IF(F56&lt;&gt;"",(LARGE(A$7:A55,1)+1),"")</f>
        <v/>
      </c>
      <c r="B56" s="153"/>
      <c r="C56" s="146"/>
      <c r="D56" s="51"/>
      <c r="E56" s="48"/>
      <c r="F56" s="203"/>
      <c r="G56" s="59"/>
      <c r="H56" s="48"/>
      <c r="I56" s="48"/>
      <c r="J56" s="203"/>
      <c r="K56" s="218"/>
      <c r="L56" s="20"/>
      <c r="M56" s="20"/>
      <c r="N56" s="203"/>
    </row>
    <row r="57" spans="1:18" s="21" customFormat="1" ht="18" x14ac:dyDescent="0.35">
      <c r="A57" s="75">
        <f>IF(F57&lt;&gt;"",(LARGE(A$7:A56,1)+1),"")</f>
        <v>18</v>
      </c>
      <c r="B57" s="153" t="s">
        <v>24</v>
      </c>
      <c r="C57" s="146">
        <v>1</v>
      </c>
      <c r="D57" s="51" t="s">
        <v>11</v>
      </c>
      <c r="E57" s="48">
        <f t="shared" ref="E57" si="37">G57+H57</f>
        <v>500</v>
      </c>
      <c r="F57" s="203">
        <f t="shared" ref="F57" si="38">E57*C57</f>
        <v>500</v>
      </c>
      <c r="G57" s="59">
        <v>500</v>
      </c>
      <c r="H57" s="48"/>
      <c r="I57" s="48">
        <f>IF(D57=0," ",(G57)*(Details!$C$4+Details!$C$8))</f>
        <v>75.000000000000014</v>
      </c>
      <c r="J57" s="203">
        <f>IF(D57=0," ",(H57)*(Details!$C$6+Details!$C$8))</f>
        <v>0</v>
      </c>
      <c r="K57" s="59">
        <f>+G57*C57</f>
        <v>500</v>
      </c>
      <c r="L57" s="48">
        <f>+H57*C57</f>
        <v>0</v>
      </c>
      <c r="M57" s="48">
        <f>IF(D57=0," ",(I57*C57))</f>
        <v>75.000000000000014</v>
      </c>
      <c r="N57" s="203">
        <f>IF(D57=0," ",(J57*C57))</f>
        <v>0</v>
      </c>
    </row>
    <row r="58" spans="1:18" s="21" customFormat="1" ht="18" x14ac:dyDescent="0.35">
      <c r="A58" s="75"/>
      <c r="B58" s="153"/>
      <c r="C58" s="146"/>
      <c r="D58" s="51"/>
      <c r="E58" s="48"/>
      <c r="F58" s="203"/>
      <c r="G58" s="59"/>
      <c r="H58" s="48"/>
      <c r="I58" s="48"/>
      <c r="J58" s="203"/>
      <c r="K58" s="59"/>
      <c r="L58" s="48"/>
      <c r="M58" s="48"/>
      <c r="N58" s="203"/>
    </row>
    <row r="59" spans="1:18" s="21" customFormat="1" ht="18" x14ac:dyDescent="0.35">
      <c r="A59" s="75"/>
      <c r="B59" s="153"/>
      <c r="C59" s="146"/>
      <c r="D59" s="51"/>
      <c r="E59" s="48"/>
      <c r="F59" s="203"/>
      <c r="G59" s="59"/>
      <c r="H59" s="48"/>
      <c r="I59" s="48"/>
      <c r="J59" s="203" t="str">
        <f>IF(D59=0," ",(G59+H59)*(Details!$C$4+Details!$C$6))</f>
        <v xml:space="preserve"> </v>
      </c>
      <c r="K59" s="218"/>
      <c r="L59" s="20"/>
      <c r="M59" s="20"/>
      <c r="N59" s="203"/>
      <c r="P59" s="72" t="s">
        <v>142</v>
      </c>
    </row>
    <row r="60" spans="1:18" s="21" customFormat="1" ht="18.600000000000001" thickBot="1" x14ac:dyDescent="0.4">
      <c r="A60" s="75"/>
      <c r="B60" s="164"/>
      <c r="C60" s="52"/>
      <c r="D60" s="60"/>
      <c r="E60" s="62" t="s">
        <v>115</v>
      </c>
      <c r="F60" s="204">
        <f>SUM(F1:F57)</f>
        <v>15679.4</v>
      </c>
      <c r="G60" s="59"/>
      <c r="H60" s="48"/>
      <c r="I60" s="48"/>
      <c r="J60" s="203" t="str">
        <f>IF(D60=0," ",(G60+H60)*(Details!$C$4+Details!$C$6))</f>
        <v xml:space="preserve"> </v>
      </c>
      <c r="K60" s="252">
        <f>SUM(K1:K59)</f>
        <v>6060</v>
      </c>
      <c r="L60" s="253">
        <f>SUM(L1:L59)</f>
        <v>9619.4</v>
      </c>
      <c r="M60" s="253">
        <f>SUM(M1:M59)</f>
        <v>909.00000000000011</v>
      </c>
      <c r="N60" s="204">
        <f>SUM(N1:N59)</f>
        <v>1442.91</v>
      </c>
      <c r="O60" s="55"/>
      <c r="P60" s="72">
        <f>+F60-K60-L60-N60-M60</f>
        <v>-2351.9100000000003</v>
      </c>
    </row>
    <row r="61" spans="1:18" s="21" customFormat="1" ht="19.2" thickTop="1" thickBot="1" x14ac:dyDescent="0.4">
      <c r="A61" s="165" t="str">
        <f>IF(F61&lt;&gt;"",(LARGE(A$7:A60,1)+1),"")</f>
        <v/>
      </c>
      <c r="B61" s="166"/>
      <c r="C61" s="167"/>
      <c r="D61" s="63"/>
      <c r="E61" s="65"/>
      <c r="F61" s="67"/>
      <c r="G61" s="66"/>
      <c r="H61" s="65"/>
      <c r="I61" s="65"/>
      <c r="J61" s="67" t="str">
        <f>IF(D61=0," ",(G61+H61)*(Details!$C$4+Details!$C$6))</f>
        <v xml:space="preserve"> </v>
      </c>
      <c r="K61" s="231"/>
      <c r="L61" s="231"/>
      <c r="M61" s="231"/>
      <c r="N61" s="191"/>
      <c r="O61" s="55"/>
    </row>
  </sheetData>
  <mergeCells count="2">
    <mergeCell ref="G5:J5"/>
    <mergeCell ref="K5:N5"/>
  </mergeCells>
  <conditionalFormatting sqref="G8:G10556">
    <cfRule type="notContainsBlanks" dxfId="23" priority="1">
      <formula>LEN(TRIM(G8))&gt;0</formula>
    </cfRule>
  </conditionalFormatting>
  <conditionalFormatting sqref="H13:H27">
    <cfRule type="notContainsBlanks" dxfId="22" priority="14">
      <formula>LEN(TRIM(H13))&gt;0</formula>
    </cfRule>
  </conditionalFormatting>
  <conditionalFormatting sqref="H31:H37 H41:H43 H47">
    <cfRule type="notContainsBlanks" dxfId="21" priority="10">
      <formula>LEN(TRIM(H31))&gt;0</formula>
    </cfRule>
  </conditionalFormatting>
  <conditionalFormatting sqref="H51">
    <cfRule type="notContainsBlanks" dxfId="20" priority="2">
      <formula>LEN(TRIM(H51))&gt;0</formula>
    </cfRule>
  </conditionalFormatting>
  <conditionalFormatting sqref="H8:I12 H28:I30 H38:I40 H44:I46 H55 H56:I56 H59:I10556">
    <cfRule type="notContainsBlanks" dxfId="19" priority="35">
      <formula>LEN(TRIM(H8))&gt;0</formula>
    </cfRule>
  </conditionalFormatting>
  <conditionalFormatting sqref="H48:I50 H52:I54 H57:H58">
    <cfRule type="notContainsBlanks" dxfId="18" priority="30">
      <formula>LEN(TRIM(H48))&gt;0</formula>
    </cfRule>
  </conditionalFormatting>
  <conditionalFormatting sqref="P60">
    <cfRule type="cellIs" dxfId="17" priority="31" operator="equal">
      <formula>0</formula>
    </cfRule>
    <cfRule type="cellIs" dxfId="16" priority="32" operator="notBetween">
      <formula>-0.01</formula>
      <formula>0.01</formula>
    </cfRule>
  </conditionalFormatting>
  <printOptions horizontalCentered="1"/>
  <pageMargins left="0.70866141732283461" right="0.70866141732283461" top="0.31496062992125984" bottom="0.55118110236220474" header="0.31496062992125984" footer="0.31496062992125984"/>
  <pageSetup paperSize="9" scale="62" fitToHeight="0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18">
    <pageSetUpPr fitToPage="1"/>
  </sheetPr>
  <dimension ref="A1:R60"/>
  <sheetViews>
    <sheetView zoomScale="85" zoomScaleNormal="40" workbookViewId="0">
      <selection activeCell="F60" sqref="F60"/>
    </sheetView>
  </sheetViews>
  <sheetFormatPr defaultColWidth="9.109375" defaultRowHeight="15.6" x14ac:dyDescent="0.3"/>
  <cols>
    <col min="1" max="1" width="5.44140625" style="16" customWidth="1"/>
    <col min="2" max="2" width="80.77734375" style="21" customWidth="1"/>
    <col min="3" max="3" width="12.44140625" style="28" customWidth="1"/>
    <col min="4" max="4" width="8.6640625" style="16" customWidth="1"/>
    <col min="5" max="6" width="15.6640625" style="20" customWidth="1"/>
    <col min="7" max="10" width="14.33203125" style="20" customWidth="1"/>
    <col min="11" max="16" width="15.6640625" style="20" customWidth="1"/>
    <col min="17" max="17" width="15.6640625" style="16" customWidth="1"/>
    <col min="18" max="16384" width="9.109375" style="16"/>
  </cols>
  <sheetData>
    <row r="1" spans="1:16" x14ac:dyDescent="0.3">
      <c r="A1" s="29"/>
      <c r="B1" s="23"/>
      <c r="C1" s="30"/>
      <c r="D1" s="24"/>
      <c r="E1" s="33"/>
      <c r="F1" s="34"/>
      <c r="G1" s="33"/>
      <c r="H1" s="33"/>
      <c r="I1" s="33"/>
      <c r="J1" s="24"/>
      <c r="K1" s="16"/>
      <c r="L1" s="16"/>
      <c r="M1" s="16"/>
      <c r="N1" s="16"/>
    </row>
    <row r="2" spans="1:16" x14ac:dyDescent="0.3">
      <c r="A2" s="15"/>
      <c r="B2" s="3" t="str">
        <f>+'Qual, Excl &amp; Assum'!B2</f>
        <v>PROJECT: Mr &amp; Mrs Hawkes-Cowands House</v>
      </c>
      <c r="F2" s="35"/>
      <c r="J2" s="16"/>
      <c r="K2" s="16"/>
      <c r="L2" s="16"/>
      <c r="M2" s="16"/>
      <c r="N2" s="16"/>
    </row>
    <row r="3" spans="1:16" x14ac:dyDescent="0.3">
      <c r="A3" s="15"/>
      <c r="B3" s="53" t="str">
        <f>+'Qual, Excl &amp; Assum'!B3</f>
        <v>DATE: 25TH SEPTEMBER 2025</v>
      </c>
      <c r="F3" s="35"/>
      <c r="J3" s="16"/>
      <c r="K3" s="16"/>
      <c r="L3" s="16"/>
      <c r="M3" s="16"/>
      <c r="N3" s="16"/>
    </row>
    <row r="4" spans="1:16" s="21" customFormat="1" ht="16.2" thickBot="1" x14ac:dyDescent="0.35">
      <c r="A4" s="15"/>
      <c r="B4" s="22"/>
      <c r="C4" s="28"/>
      <c r="E4" s="36"/>
      <c r="F4" s="37"/>
      <c r="G4" s="36"/>
      <c r="H4" s="36"/>
      <c r="I4" s="36"/>
      <c r="O4" s="20"/>
      <c r="P4" s="20"/>
    </row>
    <row r="5" spans="1:16" s="21" customFormat="1" ht="38.25" customHeight="1" thickBot="1" x14ac:dyDescent="0.35">
      <c r="A5" s="210"/>
      <c r="B5" s="211" t="s">
        <v>16</v>
      </c>
      <c r="C5" s="215"/>
      <c r="D5" s="213"/>
      <c r="E5" s="214"/>
      <c r="F5" s="220"/>
      <c r="G5" s="370" t="s">
        <v>138</v>
      </c>
      <c r="H5" s="371"/>
      <c r="I5" s="371"/>
      <c r="J5" s="372"/>
      <c r="K5" s="370" t="s">
        <v>139</v>
      </c>
      <c r="L5" s="371"/>
      <c r="M5" s="371"/>
      <c r="N5" s="372"/>
      <c r="O5" s="20"/>
      <c r="P5" s="20"/>
    </row>
    <row r="6" spans="1:16" s="21" customFormat="1" ht="18" x14ac:dyDescent="0.35">
      <c r="A6" s="49"/>
      <c r="B6" s="38"/>
      <c r="C6" s="52"/>
      <c r="D6" s="38"/>
      <c r="E6" s="64"/>
      <c r="F6" s="201"/>
      <c r="G6" s="255"/>
      <c r="H6" s="64"/>
      <c r="I6" s="64"/>
      <c r="J6" s="206"/>
      <c r="K6" s="218"/>
      <c r="L6" s="20"/>
      <c r="M6" s="20"/>
      <c r="N6" s="27"/>
      <c r="O6" s="20"/>
      <c r="P6" s="20"/>
    </row>
    <row r="7" spans="1:16" s="21" customFormat="1" ht="18" x14ac:dyDescent="0.35">
      <c r="A7" s="49"/>
      <c r="B7" s="3" t="s">
        <v>3</v>
      </c>
      <c r="C7" s="263" t="s">
        <v>8</v>
      </c>
      <c r="D7" s="264" t="s">
        <v>2</v>
      </c>
      <c r="E7" s="54" t="s">
        <v>1</v>
      </c>
      <c r="F7" s="265" t="s">
        <v>0</v>
      </c>
      <c r="G7" s="266" t="s">
        <v>34</v>
      </c>
      <c r="H7" s="266" t="s">
        <v>35</v>
      </c>
      <c r="I7" s="266" t="s">
        <v>177</v>
      </c>
      <c r="J7" s="267" t="s">
        <v>178</v>
      </c>
      <c r="K7" s="266" t="s">
        <v>34</v>
      </c>
      <c r="L7" s="266" t="s">
        <v>35</v>
      </c>
      <c r="M7" s="266" t="s">
        <v>177</v>
      </c>
      <c r="N7" s="267" t="s">
        <v>178</v>
      </c>
      <c r="O7" s="20"/>
      <c r="P7" s="20"/>
    </row>
    <row r="8" spans="1:16" s="21" customFormat="1" ht="18" x14ac:dyDescent="0.35">
      <c r="A8" s="49"/>
      <c r="B8" s="160"/>
      <c r="C8" s="149"/>
      <c r="D8" s="61"/>
      <c r="E8" s="62"/>
      <c r="F8" s="202"/>
      <c r="G8" s="59"/>
      <c r="H8" s="48"/>
      <c r="I8" s="48"/>
      <c r="J8" s="207"/>
      <c r="K8" s="209"/>
      <c r="L8" s="61"/>
      <c r="M8" s="61"/>
      <c r="N8" s="203" t="str">
        <f t="shared" ref="N8" si="0">IF(D8=0," ",(J8*C8))</f>
        <v xml:space="preserve"> </v>
      </c>
      <c r="O8" s="20"/>
      <c r="P8" s="20"/>
    </row>
    <row r="9" spans="1:16" s="21" customFormat="1" ht="18" x14ac:dyDescent="0.35">
      <c r="A9" s="49"/>
      <c r="B9" s="161" t="s">
        <v>441</v>
      </c>
      <c r="C9" s="149"/>
      <c r="D9" s="61"/>
      <c r="E9" s="62"/>
      <c r="F9" s="202"/>
      <c r="G9" s="59"/>
      <c r="H9" s="48"/>
      <c r="I9" s="48"/>
      <c r="J9" s="207"/>
      <c r="K9" s="209"/>
      <c r="L9" s="61"/>
      <c r="M9" s="61"/>
      <c r="N9" s="203"/>
      <c r="O9" s="20"/>
      <c r="P9" s="20"/>
    </row>
    <row r="10" spans="1:16" s="21" customFormat="1" ht="18" x14ac:dyDescent="0.35">
      <c r="A10" s="49"/>
      <c r="B10" s="161"/>
      <c r="C10" s="149"/>
      <c r="D10" s="61"/>
      <c r="E10" s="62"/>
      <c r="F10" s="202"/>
      <c r="G10" s="48"/>
      <c r="H10" s="48"/>
      <c r="I10" s="48"/>
      <c r="J10" s="207"/>
      <c r="K10" s="209"/>
      <c r="L10" s="61"/>
      <c r="M10" s="61"/>
      <c r="N10" s="203"/>
      <c r="O10" s="20"/>
      <c r="P10" s="20"/>
    </row>
    <row r="11" spans="1:16" s="21" customFormat="1" ht="18" x14ac:dyDescent="0.35">
      <c r="A11" s="49">
        <v>1</v>
      </c>
      <c r="B11" s="152" t="s">
        <v>442</v>
      </c>
      <c r="C11" s="146">
        <v>5</v>
      </c>
      <c r="D11" s="51" t="s">
        <v>12</v>
      </c>
      <c r="E11" s="48">
        <f>G11+H11</f>
        <v>400</v>
      </c>
      <c r="F11" s="203">
        <f>E11*C11</f>
        <v>2000</v>
      </c>
      <c r="G11" s="48">
        <v>80</v>
      </c>
      <c r="H11" s="48">
        <v>320</v>
      </c>
      <c r="I11" s="48">
        <f>IF(D11=0," ",(G11)*(Details!$C$4+Details!$C$8))</f>
        <v>12.000000000000002</v>
      </c>
      <c r="J11" s="203">
        <f>IF(D11=0," ",(H11)*(Details!$C$6+Details!$C$8))</f>
        <v>48.000000000000007</v>
      </c>
      <c r="K11" s="59">
        <f t="shared" ref="K11" si="1">+G11*C11</f>
        <v>400</v>
      </c>
      <c r="L11" s="48">
        <f t="shared" ref="L11" si="2">+H11*C11</f>
        <v>1600</v>
      </c>
      <c r="M11" s="48">
        <f t="shared" ref="M11" si="3">IF(D11=0," ",(I11*C11))</f>
        <v>60.000000000000007</v>
      </c>
      <c r="N11" s="203">
        <f t="shared" ref="N11" si="4">IF(D11=0," ",(J11*C11))</f>
        <v>240.00000000000003</v>
      </c>
      <c r="O11" s="20"/>
      <c r="P11" s="20"/>
    </row>
    <row r="12" spans="1:16" s="21" customFormat="1" ht="18" x14ac:dyDescent="0.35">
      <c r="A12" s="49"/>
      <c r="B12" s="152"/>
      <c r="C12" s="146"/>
      <c r="D12" s="51"/>
      <c r="E12" s="48"/>
      <c r="F12" s="203"/>
      <c r="G12" s="48"/>
      <c r="H12" s="48"/>
      <c r="I12" s="48"/>
      <c r="J12" s="203"/>
      <c r="K12" s="59"/>
      <c r="L12" s="48"/>
      <c r="M12" s="48"/>
      <c r="N12" s="203"/>
      <c r="O12" s="20"/>
      <c r="P12" s="20"/>
    </row>
    <row r="13" spans="1:16" s="21" customFormat="1" ht="18" x14ac:dyDescent="0.35">
      <c r="A13" s="49">
        <v>2</v>
      </c>
      <c r="B13" s="152" t="s">
        <v>443</v>
      </c>
      <c r="C13" s="336">
        <v>6</v>
      </c>
      <c r="D13" s="173" t="s">
        <v>13</v>
      </c>
      <c r="E13" s="48">
        <f t="shared" ref="E13" si="5">G13+H13</f>
        <v>13.4</v>
      </c>
      <c r="F13" s="203">
        <f t="shared" ref="F13" si="6">E13*C13</f>
        <v>80.400000000000006</v>
      </c>
      <c r="G13" s="48">
        <v>5</v>
      </c>
      <c r="H13" s="48">
        <v>8.4</v>
      </c>
      <c r="I13" s="48">
        <f>IF(D13=0," ",(G13)*(Details!$C$4+Details!$C$8))</f>
        <v>0.75000000000000011</v>
      </c>
      <c r="J13" s="203">
        <f>IF(D13=0," ",(H13)*(Details!$C$6+Details!$C$8))</f>
        <v>1.2600000000000002</v>
      </c>
      <c r="K13" s="59">
        <f t="shared" ref="K13" si="7">+G13*C13</f>
        <v>30</v>
      </c>
      <c r="L13" s="48">
        <f t="shared" ref="L13" si="8">+H13*C13</f>
        <v>50.400000000000006</v>
      </c>
      <c r="M13" s="48">
        <f t="shared" ref="M13" si="9">IF(D13=0," ",(I13*C13))</f>
        <v>4.5000000000000009</v>
      </c>
      <c r="N13" s="203">
        <f t="shared" ref="N13" si="10">IF(D13=0," ",(J13*C13))</f>
        <v>7.5600000000000014</v>
      </c>
      <c r="O13" s="20"/>
      <c r="P13" s="20"/>
    </row>
    <row r="14" spans="1:16" s="21" customFormat="1" ht="18" x14ac:dyDescent="0.35">
      <c r="A14" s="49"/>
      <c r="B14" s="152"/>
      <c r="C14" s="146"/>
      <c r="D14" s="173"/>
      <c r="E14" s="62"/>
      <c r="F14" s="202"/>
      <c r="G14" s="59"/>
      <c r="H14" s="48"/>
      <c r="I14" s="48"/>
      <c r="J14" s="207"/>
      <c r="K14" s="209"/>
      <c r="L14" s="61"/>
      <c r="M14" s="61"/>
      <c r="N14" s="203"/>
      <c r="O14" s="20"/>
      <c r="P14" s="20"/>
    </row>
    <row r="15" spans="1:16" s="21" customFormat="1" ht="18" x14ac:dyDescent="0.35">
      <c r="A15" s="49"/>
      <c r="B15" s="161" t="s">
        <v>235</v>
      </c>
      <c r="C15" s="336"/>
      <c r="D15" s="173"/>
      <c r="E15" s="62"/>
      <c r="F15" s="202"/>
      <c r="G15" s="59"/>
      <c r="H15" s="48"/>
      <c r="I15" s="48"/>
      <c r="J15" s="207"/>
      <c r="K15" s="209"/>
      <c r="L15" s="61"/>
      <c r="M15" s="61"/>
      <c r="N15" s="203"/>
      <c r="O15" s="20"/>
      <c r="P15" s="20"/>
    </row>
    <row r="16" spans="1:16" s="21" customFormat="1" ht="18" x14ac:dyDescent="0.35">
      <c r="A16" s="49"/>
      <c r="B16" s="161"/>
      <c r="C16" s="336"/>
      <c r="D16" s="173"/>
      <c r="E16" s="62"/>
      <c r="F16" s="202"/>
      <c r="G16" s="48"/>
      <c r="H16" s="48"/>
      <c r="I16" s="48"/>
      <c r="J16" s="207"/>
      <c r="K16" s="209"/>
      <c r="L16" s="61"/>
      <c r="M16" s="61"/>
      <c r="N16" s="203"/>
      <c r="O16" s="20"/>
      <c r="P16" s="20"/>
    </row>
    <row r="17" spans="1:16" s="21" customFormat="1" ht="18" x14ac:dyDescent="0.35">
      <c r="A17" s="49">
        <v>3</v>
      </c>
      <c r="B17" s="153" t="s">
        <v>444</v>
      </c>
      <c r="C17" s="146">
        <v>1</v>
      </c>
      <c r="D17" s="51" t="s">
        <v>263</v>
      </c>
      <c r="E17" s="48">
        <f>G17+H17</f>
        <v>435</v>
      </c>
      <c r="F17" s="203">
        <f>E17*C17</f>
        <v>435</v>
      </c>
      <c r="G17" s="48">
        <v>110</v>
      </c>
      <c r="H17" s="48">
        <v>325</v>
      </c>
      <c r="I17" s="48">
        <f>IF(D17=0," ",(G17)*(Details!$C$4+Details!$C$8))</f>
        <v>16.500000000000004</v>
      </c>
      <c r="J17" s="203">
        <f>IF(D17=0," ",(H17)*(Details!$C$6+Details!$C$8))</f>
        <v>48.750000000000007</v>
      </c>
      <c r="K17" s="59">
        <f t="shared" ref="K17:K19" si="11">+G17*C17</f>
        <v>110</v>
      </c>
      <c r="L17" s="48">
        <f t="shared" ref="L17:L19" si="12">+H17*C17</f>
        <v>325</v>
      </c>
      <c r="M17" s="48">
        <f t="shared" ref="M17:M19" si="13">IF(D17=0," ",(I17*C17))</f>
        <v>16.500000000000004</v>
      </c>
      <c r="N17" s="203">
        <f t="shared" ref="N17:N19" si="14">IF(D17=0," ",(J17*C17))</f>
        <v>48.750000000000007</v>
      </c>
      <c r="O17" s="20"/>
      <c r="P17" s="20"/>
    </row>
    <row r="18" spans="1:16" s="21" customFormat="1" ht="18" x14ac:dyDescent="0.35">
      <c r="A18" s="49"/>
      <c r="B18" s="153"/>
      <c r="C18" s="146"/>
      <c r="D18" s="51"/>
      <c r="E18" s="48"/>
      <c r="F18" s="203"/>
      <c r="G18" s="48"/>
      <c r="H18" s="48"/>
      <c r="I18" s="48"/>
      <c r="J18" s="203"/>
      <c r="K18" s="59"/>
      <c r="L18" s="48"/>
      <c r="M18" s="48"/>
      <c r="N18" s="203"/>
      <c r="O18" s="20"/>
      <c r="P18" s="20"/>
    </row>
    <row r="19" spans="1:16" s="21" customFormat="1" ht="18" x14ac:dyDescent="0.35">
      <c r="A19" s="49">
        <v>4</v>
      </c>
      <c r="B19" s="153" t="s">
        <v>445</v>
      </c>
      <c r="C19" s="146">
        <v>5.25</v>
      </c>
      <c r="D19" s="51" t="s">
        <v>13</v>
      </c>
      <c r="E19" s="48">
        <f t="shared" ref="E19" si="15">G19+H19</f>
        <v>13.8</v>
      </c>
      <c r="F19" s="203">
        <f t="shared" ref="F19" si="16">E19*C19</f>
        <v>72.45</v>
      </c>
      <c r="G19" s="48">
        <v>6</v>
      </c>
      <c r="H19" s="48">
        <v>7.8</v>
      </c>
      <c r="I19" s="48">
        <f>IF(D19=0," ",(G19)*(Details!$C$4+Details!$C$8))</f>
        <v>0.90000000000000013</v>
      </c>
      <c r="J19" s="203">
        <f>IF(D19=0," ",(H19)*(Details!$C$6+Details!$C$8))</f>
        <v>1.1700000000000002</v>
      </c>
      <c r="K19" s="59">
        <f t="shared" si="11"/>
        <v>31.5</v>
      </c>
      <c r="L19" s="48">
        <f t="shared" si="12"/>
        <v>40.949999999999996</v>
      </c>
      <c r="M19" s="48">
        <f t="shared" si="13"/>
        <v>4.7250000000000005</v>
      </c>
      <c r="N19" s="203">
        <f t="shared" si="14"/>
        <v>6.142500000000001</v>
      </c>
      <c r="O19" s="20"/>
      <c r="P19" s="20"/>
    </row>
    <row r="20" spans="1:16" s="21" customFormat="1" ht="18" x14ac:dyDescent="0.35">
      <c r="A20" s="49"/>
      <c r="B20" s="153"/>
      <c r="C20" s="146"/>
      <c r="D20" s="51"/>
      <c r="E20" s="62"/>
      <c r="F20" s="202"/>
      <c r="G20" s="59"/>
      <c r="H20" s="48"/>
      <c r="I20" s="48"/>
      <c r="J20" s="207"/>
      <c r="K20" s="209"/>
      <c r="L20" s="61"/>
      <c r="M20" s="61"/>
      <c r="N20" s="203"/>
      <c r="O20" s="20"/>
      <c r="P20" s="20"/>
    </row>
    <row r="21" spans="1:16" s="21" customFormat="1" ht="18" x14ac:dyDescent="0.35">
      <c r="A21" s="49"/>
      <c r="B21" s="161" t="s">
        <v>446</v>
      </c>
      <c r="C21" s="146"/>
      <c r="D21" s="51"/>
      <c r="E21" s="48"/>
      <c r="F21" s="203"/>
      <c r="G21" s="59"/>
      <c r="H21" s="48"/>
      <c r="I21" s="48"/>
      <c r="J21" s="203"/>
      <c r="K21" s="59"/>
      <c r="L21" s="48"/>
      <c r="M21" s="48"/>
      <c r="N21" s="203"/>
      <c r="O21" s="20"/>
      <c r="P21" s="20"/>
    </row>
    <row r="22" spans="1:16" s="21" customFormat="1" ht="18" x14ac:dyDescent="0.35">
      <c r="A22" s="49"/>
      <c r="B22" s="161"/>
      <c r="C22" s="146"/>
      <c r="D22" s="51"/>
      <c r="E22" s="48"/>
      <c r="F22" s="203"/>
      <c r="G22" s="48"/>
      <c r="H22" s="48"/>
      <c r="I22" s="48"/>
      <c r="J22" s="203"/>
      <c r="K22" s="59"/>
      <c r="L22" s="48"/>
      <c r="M22" s="48"/>
      <c r="N22" s="203"/>
      <c r="O22" s="20"/>
      <c r="P22" s="20"/>
    </row>
    <row r="23" spans="1:16" s="21" customFormat="1" ht="18" x14ac:dyDescent="0.35">
      <c r="A23" s="49">
        <v>5</v>
      </c>
      <c r="B23" s="153" t="s">
        <v>447</v>
      </c>
      <c r="C23" s="146">
        <v>9.3000000000000007</v>
      </c>
      <c r="D23" s="51" t="s">
        <v>10</v>
      </c>
      <c r="E23" s="48">
        <f>G23+H23</f>
        <v>54.8</v>
      </c>
      <c r="F23" s="203">
        <f>E23*C23</f>
        <v>509.64</v>
      </c>
      <c r="G23" s="48">
        <v>20</v>
      </c>
      <c r="H23" s="48">
        <v>34.799999999999997</v>
      </c>
      <c r="I23" s="48">
        <f>IF(D23=0," ",(G23)*(Details!$C$4+Details!$C$8))</f>
        <v>3.0000000000000004</v>
      </c>
      <c r="J23" s="203">
        <f>IF(D23=0," ",(H23)*(Details!$C$6+Details!$C$8))</f>
        <v>5.2200000000000006</v>
      </c>
      <c r="K23" s="59">
        <f t="shared" ref="K23:K27" si="17">+G23*C23</f>
        <v>186</v>
      </c>
      <c r="L23" s="48">
        <f t="shared" ref="L23:L27" si="18">+H23*C23</f>
        <v>323.64</v>
      </c>
      <c r="M23" s="48">
        <f t="shared" ref="M23:M27" si="19">IF(D23=0," ",(I23*C23))</f>
        <v>27.900000000000006</v>
      </c>
      <c r="N23" s="203">
        <f t="shared" ref="N23:N27" si="20">IF(D23=0," ",(J23*C23))</f>
        <v>48.546000000000006</v>
      </c>
      <c r="O23" s="20"/>
      <c r="P23" s="20"/>
    </row>
    <row r="24" spans="1:16" s="21" customFormat="1" ht="18" x14ac:dyDescent="0.35">
      <c r="A24" s="49"/>
      <c r="B24" s="153"/>
      <c r="C24" s="146"/>
      <c r="D24" s="51"/>
      <c r="E24" s="48"/>
      <c r="F24" s="203"/>
      <c r="G24" s="48"/>
      <c r="H24" s="48"/>
      <c r="I24" s="48"/>
      <c r="J24" s="203"/>
      <c r="K24" s="59"/>
      <c r="L24" s="48"/>
      <c r="M24" s="48"/>
      <c r="N24" s="203"/>
      <c r="O24" s="20"/>
      <c r="P24" s="20"/>
    </row>
    <row r="25" spans="1:16" s="21" customFormat="1" ht="18" x14ac:dyDescent="0.35">
      <c r="A25" s="49">
        <v>6</v>
      </c>
      <c r="B25" s="153" t="s">
        <v>448</v>
      </c>
      <c r="C25" s="146">
        <v>27.57</v>
      </c>
      <c r="D25" s="51" t="s">
        <v>10</v>
      </c>
      <c r="E25" s="48">
        <f t="shared" ref="E25" si="21">G25+H25</f>
        <v>57.8</v>
      </c>
      <c r="F25" s="203">
        <f t="shared" ref="F25" si="22">E25*C25</f>
        <v>1593.546</v>
      </c>
      <c r="G25" s="48">
        <v>20</v>
      </c>
      <c r="H25" s="48">
        <v>37.799999999999997</v>
      </c>
      <c r="I25" s="48">
        <f>IF(D25=0," ",(G25)*(Details!$C$4+Details!$C$8))</f>
        <v>3.0000000000000004</v>
      </c>
      <c r="J25" s="203">
        <f>IF(D25=0," ",(H25)*(Details!$C$6+Details!$C$8))</f>
        <v>5.6700000000000008</v>
      </c>
      <c r="K25" s="59">
        <f t="shared" si="17"/>
        <v>551.4</v>
      </c>
      <c r="L25" s="48">
        <f t="shared" si="18"/>
        <v>1042.146</v>
      </c>
      <c r="M25" s="48">
        <f t="shared" si="19"/>
        <v>82.710000000000008</v>
      </c>
      <c r="N25" s="203">
        <f t="shared" si="20"/>
        <v>156.32190000000003</v>
      </c>
      <c r="O25" s="20"/>
      <c r="P25" s="20"/>
    </row>
    <row r="26" spans="1:16" s="21" customFormat="1" ht="18" x14ac:dyDescent="0.35">
      <c r="A26" s="49"/>
      <c r="B26" s="153"/>
      <c r="C26" s="146"/>
      <c r="D26" s="51"/>
      <c r="E26" s="48"/>
      <c r="F26" s="203"/>
      <c r="G26" s="48"/>
      <c r="H26" s="48"/>
      <c r="I26" s="48"/>
      <c r="J26" s="203"/>
      <c r="K26" s="59"/>
      <c r="L26" s="48"/>
      <c r="M26" s="48"/>
      <c r="N26" s="203"/>
      <c r="O26" s="20"/>
      <c r="P26" s="20"/>
    </row>
    <row r="27" spans="1:16" s="21" customFormat="1" ht="18" x14ac:dyDescent="0.35">
      <c r="A27" s="49">
        <v>7</v>
      </c>
      <c r="B27" s="153" t="s">
        <v>449</v>
      </c>
      <c r="C27" s="146">
        <v>1</v>
      </c>
      <c r="D27" s="51" t="s">
        <v>263</v>
      </c>
      <c r="E27" s="48">
        <f t="shared" ref="E27" si="23">G27+H27</f>
        <v>143</v>
      </c>
      <c r="F27" s="203">
        <f t="shared" ref="F27" si="24">E27*C27</f>
        <v>143</v>
      </c>
      <c r="G27" s="48">
        <v>45</v>
      </c>
      <c r="H27" s="48">
        <v>98</v>
      </c>
      <c r="I27" s="48">
        <f>IF(D27=0," ",(G27)*(Details!$C$4+Details!$C$8))</f>
        <v>6.7500000000000009</v>
      </c>
      <c r="J27" s="203">
        <f>IF(D27=0," ",(H27)*(Details!$C$6+Details!$C$8))</f>
        <v>14.700000000000003</v>
      </c>
      <c r="K27" s="59">
        <f t="shared" si="17"/>
        <v>45</v>
      </c>
      <c r="L27" s="48">
        <f t="shared" si="18"/>
        <v>98</v>
      </c>
      <c r="M27" s="48">
        <f t="shared" si="19"/>
        <v>6.7500000000000009</v>
      </c>
      <c r="N27" s="203">
        <f t="shared" si="20"/>
        <v>14.700000000000003</v>
      </c>
      <c r="O27" s="20"/>
      <c r="P27" s="20"/>
    </row>
    <row r="28" spans="1:16" s="21" customFormat="1" ht="18" x14ac:dyDescent="0.35">
      <c r="A28" s="49"/>
      <c r="B28" s="153"/>
      <c r="C28" s="146"/>
      <c r="D28" s="51"/>
      <c r="E28" s="48"/>
      <c r="F28" s="203"/>
      <c r="G28" s="59"/>
      <c r="H28" s="48"/>
      <c r="I28" s="48"/>
      <c r="J28" s="203"/>
      <c r="K28" s="59"/>
      <c r="L28" s="48"/>
      <c r="M28" s="48"/>
      <c r="N28" s="203"/>
      <c r="O28" s="20"/>
      <c r="P28" s="20"/>
    </row>
    <row r="29" spans="1:16" s="21" customFormat="1" ht="18" x14ac:dyDescent="0.35">
      <c r="A29" s="49"/>
      <c r="B29" s="161" t="s">
        <v>450</v>
      </c>
      <c r="C29" s="146"/>
      <c r="D29" s="51"/>
      <c r="E29" s="48"/>
      <c r="F29" s="203"/>
      <c r="G29" s="59"/>
      <c r="H29" s="48"/>
      <c r="I29" s="48"/>
      <c r="J29" s="203"/>
      <c r="K29" s="59"/>
      <c r="L29" s="48"/>
      <c r="M29" s="48"/>
      <c r="N29" s="203"/>
      <c r="O29" s="20"/>
      <c r="P29" s="20"/>
    </row>
    <row r="30" spans="1:16" s="21" customFormat="1" ht="18" x14ac:dyDescent="0.35">
      <c r="A30" s="49"/>
      <c r="B30" s="161"/>
      <c r="C30" s="146"/>
      <c r="D30" s="51"/>
      <c r="E30" s="48"/>
      <c r="F30" s="203"/>
      <c r="G30" s="48"/>
      <c r="H30" s="48"/>
      <c r="I30" s="48"/>
      <c r="J30" s="203"/>
      <c r="K30" s="59"/>
      <c r="L30" s="48"/>
      <c r="M30" s="48"/>
      <c r="N30" s="203"/>
      <c r="O30" s="20"/>
      <c r="P30" s="20"/>
    </row>
    <row r="31" spans="1:16" s="21" customFormat="1" ht="18" x14ac:dyDescent="0.35">
      <c r="A31" s="49">
        <v>8</v>
      </c>
      <c r="B31" s="153" t="s">
        <v>451</v>
      </c>
      <c r="C31" s="146">
        <v>3</v>
      </c>
      <c r="D31" s="51" t="s">
        <v>263</v>
      </c>
      <c r="E31" s="48">
        <f t="shared" ref="E31" si="25">G31+H31</f>
        <v>137.5</v>
      </c>
      <c r="F31" s="203">
        <f t="shared" ref="F31" si="26">E31*C31</f>
        <v>412.5</v>
      </c>
      <c r="G31" s="48">
        <v>45</v>
      </c>
      <c r="H31" s="48">
        <v>92.5</v>
      </c>
      <c r="I31" s="48">
        <f>IF(D31=0," ",(G31)*(Details!$C$4+Details!$C$8))</f>
        <v>6.7500000000000009</v>
      </c>
      <c r="J31" s="203">
        <f>IF(D31=0," ",(H31)*(Details!$C$6+Details!$C$8))</f>
        <v>13.875000000000002</v>
      </c>
      <c r="K31" s="59">
        <f t="shared" ref="K31:K33" si="27">+G31*C31</f>
        <v>135</v>
      </c>
      <c r="L31" s="48">
        <f t="shared" ref="L31:L33" si="28">+H31*C31</f>
        <v>277.5</v>
      </c>
      <c r="M31" s="48">
        <f t="shared" ref="M31:M33" si="29">IF(D31=0," ",(I31*C31))</f>
        <v>20.250000000000004</v>
      </c>
      <c r="N31" s="203">
        <f t="shared" ref="N31:N33" si="30">IF(D31=0," ",(J31*C31))</f>
        <v>41.625000000000007</v>
      </c>
      <c r="O31" s="20"/>
      <c r="P31" s="20"/>
    </row>
    <row r="32" spans="1:16" s="21" customFormat="1" ht="18" x14ac:dyDescent="0.35">
      <c r="A32" s="49"/>
      <c r="B32" s="153"/>
      <c r="C32" s="146"/>
      <c r="D32" s="51"/>
      <c r="E32" s="48"/>
      <c r="F32" s="203"/>
      <c r="G32" s="48"/>
      <c r="H32" s="48"/>
      <c r="I32" s="48"/>
      <c r="J32" s="203"/>
      <c r="K32" s="59"/>
      <c r="L32" s="48"/>
      <c r="M32" s="48"/>
      <c r="N32" s="203"/>
      <c r="O32" s="20"/>
      <c r="P32" s="20"/>
    </row>
    <row r="33" spans="1:17" s="21" customFormat="1" ht="18" x14ac:dyDescent="0.35">
      <c r="A33" s="49">
        <v>9</v>
      </c>
      <c r="B33" s="153" t="s">
        <v>452</v>
      </c>
      <c r="C33" s="146">
        <v>3</v>
      </c>
      <c r="D33" s="51" t="s">
        <v>263</v>
      </c>
      <c r="E33" s="48">
        <f t="shared" ref="E33" si="31">G33+H33</f>
        <v>84</v>
      </c>
      <c r="F33" s="203">
        <f t="shared" ref="F33" si="32">E33*C33</f>
        <v>252</v>
      </c>
      <c r="G33" s="48">
        <v>30</v>
      </c>
      <c r="H33" s="48">
        <v>54</v>
      </c>
      <c r="I33" s="48">
        <f>IF(D33=0," ",(G33)*(Details!$C$4+Details!$C$8))</f>
        <v>4.5000000000000009</v>
      </c>
      <c r="J33" s="203">
        <f>IF(D33=0," ",(H33)*(Details!$C$6+Details!$C$8))</f>
        <v>8.1000000000000014</v>
      </c>
      <c r="K33" s="59">
        <f t="shared" si="27"/>
        <v>90</v>
      </c>
      <c r="L33" s="48">
        <f t="shared" si="28"/>
        <v>162</v>
      </c>
      <c r="M33" s="48">
        <f t="shared" si="29"/>
        <v>13.500000000000004</v>
      </c>
      <c r="N33" s="203">
        <f t="shared" si="30"/>
        <v>24.300000000000004</v>
      </c>
      <c r="O33" s="20"/>
      <c r="P33" s="20"/>
    </row>
    <row r="34" spans="1:17" s="21" customFormat="1" ht="18" x14ac:dyDescent="0.35">
      <c r="A34" s="49"/>
      <c r="B34" s="153"/>
      <c r="C34" s="146"/>
      <c r="D34" s="51"/>
      <c r="E34" s="48"/>
      <c r="F34" s="203"/>
      <c r="G34" s="59"/>
      <c r="H34" s="48"/>
      <c r="I34" s="48"/>
      <c r="J34" s="203"/>
      <c r="K34" s="59"/>
      <c r="L34" s="48"/>
      <c r="M34" s="48"/>
      <c r="N34" s="203"/>
      <c r="O34" s="20"/>
      <c r="P34" s="20"/>
    </row>
    <row r="35" spans="1:17" s="21" customFormat="1" ht="18" x14ac:dyDescent="0.35">
      <c r="A35" s="75" t="str">
        <f>IF(F35&lt;&gt;"",(LARGE(A$7:A34,1)+1),"")</f>
        <v/>
      </c>
      <c r="B35" s="161" t="s">
        <v>224</v>
      </c>
      <c r="C35" s="146"/>
      <c r="D35" s="60"/>
      <c r="E35" s="48"/>
      <c r="F35" s="203"/>
      <c r="G35" s="59"/>
      <c r="H35" s="48"/>
      <c r="I35" s="48"/>
      <c r="J35" s="203"/>
      <c r="K35" s="59"/>
      <c r="L35" s="48"/>
      <c r="M35" s="48"/>
      <c r="N35" s="203"/>
      <c r="O35" s="373"/>
      <c r="P35" s="373"/>
    </row>
    <row r="36" spans="1:17" s="21" customFormat="1" ht="18" x14ac:dyDescent="0.35">
      <c r="A36" s="75"/>
      <c r="B36" s="335"/>
      <c r="C36" s="146"/>
      <c r="D36" s="60"/>
      <c r="E36" s="48"/>
      <c r="F36" s="203"/>
      <c r="G36" s="48"/>
      <c r="H36" s="48"/>
      <c r="I36" s="48"/>
      <c r="J36" s="203"/>
      <c r="K36" s="59"/>
      <c r="L36" s="48"/>
      <c r="M36" s="48"/>
      <c r="N36" s="203"/>
      <c r="O36" s="347"/>
      <c r="P36" s="347"/>
    </row>
    <row r="37" spans="1:17" s="21" customFormat="1" ht="18" x14ac:dyDescent="0.35">
      <c r="A37" s="75">
        <v>10</v>
      </c>
      <c r="B37" s="335" t="s">
        <v>464</v>
      </c>
      <c r="C37" s="336">
        <v>1</v>
      </c>
      <c r="D37" s="173" t="s">
        <v>11</v>
      </c>
      <c r="E37" s="48">
        <f t="shared" ref="E37" si="33">G37+H37</f>
        <v>350</v>
      </c>
      <c r="F37" s="203">
        <f t="shared" ref="F37" si="34">E37*C37</f>
        <v>350</v>
      </c>
      <c r="G37" s="48">
        <v>350</v>
      </c>
      <c r="H37" s="48">
        <v>0</v>
      </c>
      <c r="I37" s="48">
        <f>IF(D37=0," ",(G37)*(Details!$C$4+Details!$C$8))</f>
        <v>52.500000000000007</v>
      </c>
      <c r="J37" s="203">
        <f>IF(D37=0," ",(H37)*(Details!$C$6+Details!$C$8))</f>
        <v>0</v>
      </c>
      <c r="K37" s="59">
        <f t="shared" ref="K37" si="35">+G37*C37</f>
        <v>350</v>
      </c>
      <c r="L37" s="48">
        <f t="shared" ref="L37" si="36">+H37*C37</f>
        <v>0</v>
      </c>
      <c r="M37" s="48">
        <f t="shared" ref="M37" si="37">IF(D37=0," ",(I37*C37))</f>
        <v>52.500000000000007</v>
      </c>
      <c r="N37" s="203">
        <f t="shared" ref="N37" si="38">IF(D37=0," ",(J37*C37))</f>
        <v>0</v>
      </c>
      <c r="O37" s="347"/>
      <c r="P37" s="347"/>
    </row>
    <row r="38" spans="1:17" s="21" customFormat="1" ht="18" x14ac:dyDescent="0.35">
      <c r="A38" s="75"/>
      <c r="B38" s="161"/>
      <c r="C38" s="146"/>
      <c r="D38" s="60"/>
      <c r="E38" s="48"/>
      <c r="F38" s="203"/>
      <c r="G38" s="48"/>
      <c r="H38" s="48"/>
      <c r="I38" s="48"/>
      <c r="J38" s="203"/>
      <c r="K38" s="59"/>
      <c r="L38" s="48"/>
      <c r="M38" s="48"/>
      <c r="N38" s="203"/>
      <c r="O38" s="347"/>
      <c r="P38" s="347"/>
    </row>
    <row r="39" spans="1:17" s="21" customFormat="1" ht="18" x14ac:dyDescent="0.35">
      <c r="A39" s="49">
        <v>11</v>
      </c>
      <c r="B39" s="153" t="s">
        <v>242</v>
      </c>
      <c r="C39" s="336">
        <v>1</v>
      </c>
      <c r="D39" s="173" t="s">
        <v>11</v>
      </c>
      <c r="E39" s="48">
        <f t="shared" ref="E39" si="39">G39+H39</f>
        <v>300</v>
      </c>
      <c r="F39" s="203">
        <f t="shared" ref="F39" si="40">E39*C39</f>
        <v>300</v>
      </c>
      <c r="G39" s="48">
        <v>300</v>
      </c>
      <c r="H39" s="48">
        <v>0</v>
      </c>
      <c r="I39" s="48">
        <f>IF(D39=0," ",(G39)*(Details!$C$4+Details!$C$8))</f>
        <v>45.000000000000007</v>
      </c>
      <c r="J39" s="203">
        <f>IF(D39=0," ",(H39)*(Details!$C$6+Details!$C$8))</f>
        <v>0</v>
      </c>
      <c r="K39" s="59">
        <f t="shared" ref="K39:K41" si="41">+G39*C39</f>
        <v>300</v>
      </c>
      <c r="L39" s="48">
        <f t="shared" ref="L39:L41" si="42">+H39*C39</f>
        <v>0</v>
      </c>
      <c r="M39" s="48">
        <f t="shared" ref="M39:M41" si="43">IF(D39=0," ",(I39*C39))</f>
        <v>45.000000000000007</v>
      </c>
      <c r="N39" s="203">
        <f t="shared" ref="N39:N41" si="44">IF(D39=0," ",(J39*C39))</f>
        <v>0</v>
      </c>
      <c r="O39" s="338" t="e">
        <f>IF(E39=0," ",(K39*D39))</f>
        <v>#VALUE!</v>
      </c>
      <c r="P39" s="20"/>
    </row>
    <row r="40" spans="1:17" s="21" customFormat="1" ht="18" x14ac:dyDescent="0.35">
      <c r="A40" s="49"/>
      <c r="B40" s="153"/>
      <c r="C40" s="336"/>
      <c r="D40" s="173"/>
      <c r="E40" s="48"/>
      <c r="F40" s="203"/>
      <c r="G40" s="48"/>
      <c r="H40" s="48"/>
      <c r="I40" s="48"/>
      <c r="J40" s="203"/>
      <c r="K40" s="59"/>
      <c r="L40" s="48"/>
      <c r="M40" s="48"/>
      <c r="N40" s="203"/>
      <c r="O40" s="337"/>
      <c r="P40" s="20"/>
    </row>
    <row r="41" spans="1:17" s="58" customFormat="1" ht="36" x14ac:dyDescent="0.35">
      <c r="A41" s="334">
        <v>12</v>
      </c>
      <c r="B41" s="335" t="s">
        <v>17</v>
      </c>
      <c r="C41" s="336">
        <v>1</v>
      </c>
      <c r="D41" s="173" t="s">
        <v>11</v>
      </c>
      <c r="E41" s="48">
        <f t="shared" ref="E41" si="45">G41+H41</f>
        <v>350</v>
      </c>
      <c r="F41" s="203">
        <f t="shared" ref="F41" si="46">E41*C41</f>
        <v>350</v>
      </c>
      <c r="G41" s="48">
        <v>350</v>
      </c>
      <c r="H41" s="48">
        <v>0</v>
      </c>
      <c r="I41" s="48">
        <f>IF(D41=0," ",(G41)*(Details!$C$4+Details!$C$8))</f>
        <v>52.500000000000007</v>
      </c>
      <c r="J41" s="203">
        <f>IF(D41=0," ",(H41)*(Details!$C$6+Details!$C$8))</f>
        <v>0</v>
      </c>
      <c r="K41" s="59">
        <f t="shared" si="41"/>
        <v>350</v>
      </c>
      <c r="L41" s="48">
        <f t="shared" si="42"/>
        <v>0</v>
      </c>
      <c r="M41" s="48">
        <f t="shared" si="43"/>
        <v>52.500000000000007</v>
      </c>
      <c r="N41" s="203">
        <f t="shared" si="44"/>
        <v>0</v>
      </c>
      <c r="O41" s="69"/>
      <c r="P41" s="340"/>
      <c r="Q41" s="341"/>
    </row>
    <row r="42" spans="1:17" s="58" customFormat="1" ht="18" x14ac:dyDescent="0.3">
      <c r="A42" s="334" t="str">
        <f>IF(F42&lt;&gt;"",(LARGE(A$7:A41,1)+1),"")</f>
        <v/>
      </c>
      <c r="B42" s="335"/>
      <c r="C42" s="336"/>
      <c r="D42" s="173"/>
      <c r="E42" s="337"/>
      <c r="F42" s="338"/>
      <c r="G42" s="339"/>
      <c r="H42" s="337"/>
      <c r="I42" s="337"/>
      <c r="J42" s="338"/>
      <c r="K42" s="339"/>
      <c r="L42" s="337"/>
      <c r="M42" s="337"/>
      <c r="N42" s="338"/>
      <c r="O42" s="69"/>
      <c r="P42" s="342"/>
      <c r="Q42" s="343"/>
    </row>
    <row r="43" spans="1:17" s="58" customFormat="1" ht="18" x14ac:dyDescent="0.3">
      <c r="A43" s="334" t="str">
        <f>IF(F43&lt;&gt;"",(LARGE(A$7:A42,1)+1),"")</f>
        <v/>
      </c>
      <c r="B43" s="344" t="s">
        <v>58</v>
      </c>
      <c r="C43" s="336"/>
      <c r="D43" s="173"/>
      <c r="E43" s="337"/>
      <c r="F43" s="338"/>
      <c r="G43" s="339"/>
      <c r="H43" s="337"/>
      <c r="I43" s="337"/>
      <c r="J43" s="338"/>
      <c r="K43" s="339"/>
      <c r="L43" s="337"/>
      <c r="M43" s="337"/>
      <c r="N43" s="338"/>
      <c r="O43" s="70"/>
      <c r="P43" s="69"/>
      <c r="Q43" s="70"/>
    </row>
    <row r="44" spans="1:17" s="58" customFormat="1" ht="18" x14ac:dyDescent="0.3">
      <c r="A44" s="334" t="str">
        <f>IF(F44&lt;&gt;"",(LARGE(A$7:A43,1)+1),"")</f>
        <v/>
      </c>
      <c r="B44" s="344"/>
      <c r="C44" s="336"/>
      <c r="D44" s="173"/>
      <c r="E44" s="337"/>
      <c r="F44" s="338"/>
      <c r="G44" s="339"/>
      <c r="H44" s="337"/>
      <c r="I44" s="337"/>
      <c r="J44" s="338"/>
      <c r="K44" s="339"/>
      <c r="L44" s="337"/>
      <c r="M44" s="337"/>
      <c r="N44" s="338"/>
      <c r="O44" s="69"/>
      <c r="P44" s="342"/>
      <c r="Q44" s="343"/>
    </row>
    <row r="45" spans="1:17" s="58" customFormat="1" ht="36" x14ac:dyDescent="0.35">
      <c r="A45" s="334">
        <f>IF(F45&lt;&gt;"",(LARGE(A$7:A44,1)+1),"")</f>
        <v>13</v>
      </c>
      <c r="B45" s="335" t="s">
        <v>18</v>
      </c>
      <c r="C45" s="336">
        <v>1</v>
      </c>
      <c r="D45" s="173" t="s">
        <v>11</v>
      </c>
      <c r="E45" s="48">
        <f t="shared" ref="E45" si="47">G45+H45</f>
        <v>450</v>
      </c>
      <c r="F45" s="203">
        <f t="shared" ref="F45" si="48">E45*C45</f>
        <v>450</v>
      </c>
      <c r="G45" s="48">
        <v>450</v>
      </c>
      <c r="H45" s="48">
        <v>0</v>
      </c>
      <c r="I45" s="48">
        <f>IF(D45=0," ",(G45)*(Details!$C$4+Details!$C$8))</f>
        <v>67.500000000000014</v>
      </c>
      <c r="J45" s="203">
        <f>IF(D45=0," ",(H45)*(Details!$C$6+Details!$C$8))</f>
        <v>0</v>
      </c>
      <c r="K45" s="59">
        <f t="shared" ref="K45" si="49">+G45*C45</f>
        <v>450</v>
      </c>
      <c r="L45" s="48">
        <f t="shared" ref="L45" si="50">+H45*C45</f>
        <v>0</v>
      </c>
      <c r="M45" s="48">
        <f t="shared" ref="M45" si="51">IF(D45=0," ",(I45*C45))</f>
        <v>67.500000000000014</v>
      </c>
      <c r="N45" s="203">
        <f t="shared" ref="N45" si="52">IF(D45=0," ",(J45*C45))</f>
        <v>0</v>
      </c>
      <c r="O45" s="69"/>
      <c r="P45" s="340"/>
      <c r="Q45" s="341"/>
    </row>
    <row r="46" spans="1:17" s="21" customFormat="1" ht="18" x14ac:dyDescent="0.35">
      <c r="A46" s="334" t="str">
        <f>IF(F46&lt;&gt;"",(LARGE(A$7:A45,1)+1),"")</f>
        <v/>
      </c>
      <c r="B46" s="38"/>
      <c r="C46" s="146"/>
      <c r="D46" s="51"/>
      <c r="E46" s="48"/>
      <c r="F46" s="203"/>
      <c r="G46" s="59"/>
      <c r="H46" s="48"/>
      <c r="I46" s="48"/>
      <c r="J46" s="203"/>
      <c r="K46" s="59"/>
      <c r="L46" s="48"/>
      <c r="M46" s="48"/>
      <c r="N46" s="203"/>
      <c r="O46" s="32"/>
      <c r="P46" s="72"/>
      <c r="Q46" s="83"/>
    </row>
    <row r="47" spans="1:17" s="21" customFormat="1" ht="18" x14ac:dyDescent="0.35">
      <c r="A47" s="334" t="str">
        <f>IF(F47&lt;&gt;"",(LARGE(A$7:A46,1)+1),"")</f>
        <v/>
      </c>
      <c r="B47" s="168" t="s">
        <v>147</v>
      </c>
      <c r="C47" s="146"/>
      <c r="D47" s="51"/>
      <c r="E47" s="48"/>
      <c r="F47" s="203"/>
      <c r="G47" s="59"/>
      <c r="H47" s="48"/>
      <c r="I47" s="48"/>
      <c r="J47" s="203"/>
      <c r="K47" s="59"/>
      <c r="L47" s="48"/>
      <c r="M47" s="48"/>
      <c r="N47" s="203"/>
      <c r="O47" s="32"/>
      <c r="P47" s="72"/>
      <c r="Q47" s="73"/>
    </row>
    <row r="48" spans="1:17" s="21" customFormat="1" ht="18" x14ac:dyDescent="0.35">
      <c r="A48" s="334" t="str">
        <f>IF(F48&lt;&gt;"",(LARGE(A$7:A47,1)+1),"")</f>
        <v/>
      </c>
      <c r="B48" s="168"/>
      <c r="C48" s="146"/>
      <c r="D48" s="51"/>
      <c r="E48" s="48"/>
      <c r="F48" s="203"/>
      <c r="G48" s="59"/>
      <c r="H48" s="48"/>
      <c r="I48" s="48"/>
      <c r="J48" s="203"/>
      <c r="K48" s="59"/>
      <c r="L48" s="48"/>
      <c r="M48" s="48"/>
      <c r="N48" s="203"/>
      <c r="O48" s="32"/>
      <c r="P48" s="72"/>
      <c r="Q48" s="73"/>
    </row>
    <row r="49" spans="1:18" s="21" customFormat="1" ht="18" x14ac:dyDescent="0.35">
      <c r="A49" s="334">
        <f>IF(F49&lt;&gt;"",(LARGE(A$7:A48,1)+1),"")</f>
        <v>14</v>
      </c>
      <c r="B49" s="38" t="s">
        <v>148</v>
      </c>
      <c r="C49" s="146">
        <v>1</v>
      </c>
      <c r="D49" s="51" t="s">
        <v>11</v>
      </c>
      <c r="E49" s="48">
        <f t="shared" ref="E49" si="53">G49+H49</f>
        <v>300</v>
      </c>
      <c r="F49" s="203">
        <f t="shared" ref="F49" si="54">E49*C49</f>
        <v>300</v>
      </c>
      <c r="G49" s="48">
        <v>300</v>
      </c>
      <c r="H49" s="48">
        <v>0</v>
      </c>
      <c r="I49" s="48">
        <f>IF(D49=0," ",(G49)*(Details!$C$4+Details!$C$8))</f>
        <v>45.000000000000007</v>
      </c>
      <c r="J49" s="203">
        <f>IF(D49=0," ",(H49)*(Details!$C$6+Details!$C$8))</f>
        <v>0</v>
      </c>
      <c r="K49" s="59">
        <f t="shared" ref="K49" si="55">+G49*C49</f>
        <v>300</v>
      </c>
      <c r="L49" s="48">
        <f t="shared" ref="L49" si="56">+H49*C49</f>
        <v>0</v>
      </c>
      <c r="M49" s="48">
        <f t="shared" ref="M49" si="57">IF(D49=0," ",(I49*C49))</f>
        <v>45.000000000000007</v>
      </c>
      <c r="N49" s="203">
        <f t="shared" ref="N49" si="58">IF(D49=0," ",(J49*C49))</f>
        <v>0</v>
      </c>
      <c r="O49" s="32"/>
      <c r="P49" s="72"/>
      <c r="Q49" s="83"/>
    </row>
    <row r="50" spans="1:18" s="21" customFormat="1" ht="18" x14ac:dyDescent="0.35">
      <c r="A50" s="334" t="str">
        <f>IF(F50&lt;&gt;"",(LARGE(A$7:A49,1)+1),"")</f>
        <v/>
      </c>
      <c r="B50" s="38"/>
      <c r="C50" s="146"/>
      <c r="D50" s="51"/>
      <c r="E50" s="48"/>
      <c r="F50" s="203"/>
      <c r="G50" s="59"/>
      <c r="H50" s="48"/>
      <c r="I50" s="48"/>
      <c r="J50" s="203"/>
      <c r="K50" s="59"/>
      <c r="L50" s="48"/>
      <c r="M50" s="48"/>
      <c r="N50" s="203"/>
      <c r="O50" s="20"/>
      <c r="P50" s="72"/>
      <c r="Q50" s="73"/>
    </row>
    <row r="51" spans="1:18" s="21" customFormat="1" ht="18" x14ac:dyDescent="0.35">
      <c r="A51" s="334" t="str">
        <f>IF(F51&lt;&gt;"",(LARGE(A$7:A50,1)+1),"")</f>
        <v/>
      </c>
      <c r="B51" s="168" t="s">
        <v>49</v>
      </c>
      <c r="C51" s="146"/>
      <c r="D51" s="60"/>
      <c r="E51" s="48"/>
      <c r="F51" s="203"/>
      <c r="G51" s="59"/>
      <c r="H51" s="48"/>
      <c r="I51" s="48"/>
      <c r="J51" s="203"/>
      <c r="K51" s="59"/>
      <c r="L51" s="48"/>
      <c r="M51" s="48"/>
      <c r="N51" s="203"/>
      <c r="O51" s="20"/>
      <c r="P51" s="20"/>
    </row>
    <row r="52" spans="1:18" s="21" customFormat="1" ht="18" x14ac:dyDescent="0.35">
      <c r="A52" s="334" t="str">
        <f>IF(F52&lt;&gt;"",(LARGE(A$7:A51,1)+1),"")</f>
        <v/>
      </c>
      <c r="B52" s="168"/>
      <c r="C52" s="146"/>
      <c r="D52" s="60"/>
      <c r="E52" s="48"/>
      <c r="F52" s="203"/>
      <c r="G52" s="59"/>
      <c r="H52" s="48"/>
      <c r="I52" s="48"/>
      <c r="J52" s="203"/>
      <c r="K52" s="59"/>
      <c r="L52" s="48"/>
      <c r="M52" s="48"/>
      <c r="N52" s="203"/>
      <c r="O52" s="20"/>
      <c r="P52" s="20"/>
    </row>
    <row r="53" spans="1:18" s="21" customFormat="1" ht="18" x14ac:dyDescent="0.35">
      <c r="A53" s="334">
        <f>IF(F53&lt;&gt;"",(LARGE(A$7:A52,1)+1),"")</f>
        <v>15</v>
      </c>
      <c r="B53" s="153" t="s">
        <v>23</v>
      </c>
      <c r="C53" s="146">
        <v>1</v>
      </c>
      <c r="D53" s="51" t="s">
        <v>11</v>
      </c>
      <c r="E53" s="48">
        <f t="shared" ref="E53" si="59">G53+H53</f>
        <v>500</v>
      </c>
      <c r="F53" s="203">
        <f t="shared" ref="F53" si="60">E53*C53</f>
        <v>500</v>
      </c>
      <c r="G53" s="48">
        <v>500</v>
      </c>
      <c r="H53" s="48">
        <v>0</v>
      </c>
      <c r="I53" s="48">
        <f>IF(D53=0," ",(G53)*(Details!$C$4+Details!$C$8))</f>
        <v>75.000000000000014</v>
      </c>
      <c r="J53" s="203">
        <f>IF(D53=0," ",(H53)*(Details!$C$6+Details!$C$8))</f>
        <v>0</v>
      </c>
      <c r="K53" s="59">
        <f t="shared" ref="K53" si="61">+G53*C53</f>
        <v>500</v>
      </c>
      <c r="L53" s="48">
        <f t="shared" ref="L53" si="62">+H53*C53</f>
        <v>0</v>
      </c>
      <c r="M53" s="48">
        <f t="shared" ref="M53" si="63">IF(D53=0," ",(I53*C53))</f>
        <v>75.000000000000014</v>
      </c>
      <c r="N53" s="203">
        <f t="shared" ref="N53" si="64">IF(D53=0," ",(J53*C53))</f>
        <v>0</v>
      </c>
      <c r="O53" s="20"/>
      <c r="P53" s="20"/>
    </row>
    <row r="54" spans="1:18" s="21" customFormat="1" ht="18" x14ac:dyDescent="0.35">
      <c r="A54" s="334" t="str">
        <f>IF(F54&lt;&gt;"",(LARGE(A$7:A53,1)+1),"")</f>
        <v/>
      </c>
      <c r="B54" s="153"/>
      <c r="C54" s="146"/>
      <c r="D54" s="51"/>
      <c r="E54" s="48"/>
      <c r="F54" s="203"/>
      <c r="G54" s="59"/>
      <c r="H54" s="48"/>
      <c r="I54" s="48"/>
      <c r="J54" s="203"/>
      <c r="K54" s="59"/>
      <c r="L54" s="48"/>
      <c r="M54" s="48"/>
      <c r="N54" s="203"/>
      <c r="O54" s="20"/>
      <c r="P54" s="20"/>
    </row>
    <row r="55" spans="1:18" s="21" customFormat="1" ht="18" x14ac:dyDescent="0.35">
      <c r="A55" s="334">
        <f>IF(F55&lt;&gt;"",(LARGE(A$7:A54,1)+1),"")</f>
        <v>16</v>
      </c>
      <c r="B55" s="153" t="s">
        <v>24</v>
      </c>
      <c r="C55" s="146">
        <v>1</v>
      </c>
      <c r="D55" s="51" t="s">
        <v>11</v>
      </c>
      <c r="E55" s="48">
        <f t="shared" ref="E55" si="65">G55+H55</f>
        <v>500</v>
      </c>
      <c r="F55" s="203">
        <f t="shared" ref="F55" si="66">E55*C55</f>
        <v>500</v>
      </c>
      <c r="G55" s="48">
        <v>500</v>
      </c>
      <c r="H55" s="48">
        <v>0</v>
      </c>
      <c r="I55" s="48">
        <f>IF(D55=0," ",(G55)*(Details!$C$4+Details!$C$8))</f>
        <v>75.000000000000014</v>
      </c>
      <c r="J55" s="203">
        <f>IF(D55=0," ",(H55)*(Details!$C$6+Details!$C$8))</f>
        <v>0</v>
      </c>
      <c r="K55" s="59">
        <f t="shared" ref="K55" si="67">+G55*C55</f>
        <v>500</v>
      </c>
      <c r="L55" s="48">
        <f t="shared" ref="L55" si="68">+H55*C55</f>
        <v>0</v>
      </c>
      <c r="M55" s="48">
        <f t="shared" ref="M55" si="69">IF(D55=0," ",(I55*C55))</f>
        <v>75.000000000000014</v>
      </c>
      <c r="N55" s="203">
        <f t="shared" ref="N55" si="70">IF(D55=0," ",(J55*C55))</f>
        <v>0</v>
      </c>
      <c r="O55" s="20"/>
      <c r="P55" s="20"/>
    </row>
    <row r="56" spans="1:18" s="21" customFormat="1" ht="18" x14ac:dyDescent="0.35">
      <c r="A56" s="334" t="str">
        <f>IF(F56&lt;&gt;"",(LARGE(A$7:A55,1)+1),"")</f>
        <v/>
      </c>
      <c r="B56" s="153"/>
      <c r="C56" s="146"/>
      <c r="D56" s="60"/>
      <c r="E56" s="48"/>
      <c r="F56" s="203"/>
      <c r="G56" s="59"/>
      <c r="H56" s="48"/>
      <c r="I56" s="48"/>
      <c r="J56" s="203"/>
      <c r="K56" s="59"/>
      <c r="L56" s="48"/>
      <c r="M56" s="48"/>
      <c r="N56" s="203"/>
      <c r="O56" s="20"/>
      <c r="P56" s="20"/>
    </row>
    <row r="57" spans="1:18" s="21" customFormat="1" ht="18" x14ac:dyDescent="0.35">
      <c r="A57" s="334" t="str">
        <f>IF(F57&lt;&gt;"",(LARGE(A$7:A56,1)+1),"")</f>
        <v/>
      </c>
      <c r="B57" s="153"/>
      <c r="C57" s="146"/>
      <c r="D57" s="51"/>
      <c r="E57" s="48"/>
      <c r="F57" s="203"/>
      <c r="G57" s="59"/>
      <c r="H57" s="48"/>
      <c r="I57" s="48"/>
      <c r="J57" s="203"/>
      <c r="K57" s="59"/>
      <c r="L57" s="48"/>
      <c r="M57" s="48"/>
      <c r="N57" s="203"/>
      <c r="O57" s="20"/>
      <c r="P57" s="20"/>
    </row>
    <row r="58" spans="1:18" s="21" customFormat="1" ht="16.5" customHeight="1" x14ac:dyDescent="0.35">
      <c r="A58" s="334" t="str">
        <f>IF(F58&lt;&gt;"",(LARGE(A$7:A57,1)+1),"")</f>
        <v/>
      </c>
      <c r="B58" s="153"/>
      <c r="C58" s="146"/>
      <c r="D58" s="51"/>
      <c r="E58" s="48"/>
      <c r="F58" s="203"/>
      <c r="G58" s="59"/>
      <c r="H58" s="48"/>
      <c r="I58" s="48"/>
      <c r="J58" s="203" t="str">
        <f>IF(D58=0," ",(G58+H58)*(Details!$C$4+Details!$C$6))</f>
        <v xml:space="preserve"> </v>
      </c>
      <c r="K58" s="59"/>
      <c r="L58" s="48"/>
      <c r="M58" s="48"/>
      <c r="N58" s="203"/>
      <c r="O58" s="20"/>
      <c r="P58" s="72" t="s">
        <v>142</v>
      </c>
    </row>
    <row r="59" spans="1:18" s="21" customFormat="1" ht="18.600000000000001" thickBot="1" x14ac:dyDescent="0.4">
      <c r="A59" s="75"/>
      <c r="B59" s="164"/>
      <c r="C59" s="52"/>
      <c r="D59" s="60"/>
      <c r="E59" s="62" t="s">
        <v>115</v>
      </c>
      <c r="F59" s="204">
        <f>SUM(F1:F58)</f>
        <v>8248.5360000000001</v>
      </c>
      <c r="G59" s="59"/>
      <c r="H59" s="48"/>
      <c r="I59" s="48"/>
      <c r="J59" s="203" t="str">
        <f>IF(D59=0," ",(G59+H59)*(Details!$C$4+Details!$C$6))</f>
        <v xml:space="preserve"> </v>
      </c>
      <c r="K59" s="252">
        <f>SUM(K1:K58)</f>
        <v>4328.8999999999996</v>
      </c>
      <c r="L59" s="253">
        <f>SUM(L1:L58)</f>
        <v>3919.6360000000004</v>
      </c>
      <c r="M59" s="253">
        <f>SUM(M1:M58)</f>
        <v>649.33500000000004</v>
      </c>
      <c r="N59" s="204">
        <f>SUM(N1:N58)</f>
        <v>587.94540000000006</v>
      </c>
      <c r="O59" s="20"/>
      <c r="P59" s="72">
        <f>+F59-K59-L59-N59-M59</f>
        <v>-1237.2804000000001</v>
      </c>
      <c r="R59" s="55"/>
    </row>
    <row r="60" spans="1:18" s="21" customFormat="1" ht="19.2" thickTop="1" thickBot="1" x14ac:dyDescent="0.4">
      <c r="A60" s="165" t="str">
        <f>IF(F60&lt;&gt;"",(LARGE(A$7:A59,1)+1),"")</f>
        <v/>
      </c>
      <c r="B60" s="166"/>
      <c r="C60" s="167"/>
      <c r="D60" s="63"/>
      <c r="E60" s="65"/>
      <c r="F60" s="67"/>
      <c r="G60" s="66"/>
      <c r="H60" s="65"/>
      <c r="I60" s="65"/>
      <c r="J60" s="67" t="str">
        <f>IF(D60=0," ",(G60+H60)*(Details!$C$4+Details!$C$6))</f>
        <v xml:space="preserve"> </v>
      </c>
      <c r="K60" s="231"/>
      <c r="L60" s="231"/>
      <c r="M60" s="231"/>
      <c r="N60" s="191"/>
      <c r="O60" s="20"/>
      <c r="P60" s="20"/>
      <c r="R60" s="55"/>
    </row>
  </sheetData>
  <mergeCells count="3">
    <mergeCell ref="O35:P35"/>
    <mergeCell ref="G5:J5"/>
    <mergeCell ref="K5:N5"/>
  </mergeCells>
  <conditionalFormatting sqref="G8:G10555">
    <cfRule type="notContainsBlanks" dxfId="15" priority="1">
      <formula>LEN(TRIM(G8))&gt;0</formula>
    </cfRule>
  </conditionalFormatting>
  <conditionalFormatting sqref="H11:H13">
    <cfRule type="notContainsBlanks" dxfId="14" priority="26">
      <formula>LEN(TRIM(H11))&gt;0</formula>
    </cfRule>
  </conditionalFormatting>
  <conditionalFormatting sqref="H17:H19 H23:H27 H31:H33">
    <cfRule type="notContainsBlanks" dxfId="13" priority="22">
      <formula>LEN(TRIM(H17))&gt;0</formula>
    </cfRule>
  </conditionalFormatting>
  <conditionalFormatting sqref="H37">
    <cfRule type="notContainsBlanks" dxfId="12" priority="2">
      <formula>LEN(TRIM(H37))&gt;0</formula>
    </cfRule>
  </conditionalFormatting>
  <conditionalFormatting sqref="H39:H41">
    <cfRule type="notContainsBlanks" dxfId="11" priority="18">
      <formula>LEN(TRIM(H39))&gt;0</formula>
    </cfRule>
  </conditionalFormatting>
  <conditionalFormatting sqref="H45">
    <cfRule type="notContainsBlanks" dxfId="10" priority="14">
      <formula>LEN(TRIM(H45))&gt;0</formula>
    </cfRule>
  </conditionalFormatting>
  <conditionalFormatting sqref="H49">
    <cfRule type="notContainsBlanks" dxfId="9" priority="10">
      <formula>LEN(TRIM(H49))&gt;0</formula>
    </cfRule>
  </conditionalFormatting>
  <conditionalFormatting sqref="H53 H55">
    <cfRule type="notContainsBlanks" dxfId="8" priority="6">
      <formula>LEN(TRIM(H53))&gt;0</formula>
    </cfRule>
  </conditionalFormatting>
  <conditionalFormatting sqref="H8:I10 H42:I44 H46:I48 H50:I52 H54:I54">
    <cfRule type="notContainsBlanks" dxfId="7" priority="59">
      <formula>LEN(TRIM(H8))&gt;0</formula>
    </cfRule>
  </conditionalFormatting>
  <conditionalFormatting sqref="H14:I16 H20:I22 H34:I36 H38:I38">
    <cfRule type="notContainsBlanks" dxfId="6" priority="36">
      <formula>LEN(TRIM(H14))&gt;0</formula>
    </cfRule>
  </conditionalFormatting>
  <conditionalFormatting sqref="H28:I30 H56:I10555">
    <cfRule type="notContainsBlanks" dxfId="5" priority="54">
      <formula>LEN(TRIM(H28))&gt;0</formula>
    </cfRule>
  </conditionalFormatting>
  <conditionalFormatting sqref="P43">
    <cfRule type="cellIs" dxfId="4" priority="61" operator="notEqual">
      <formula>0</formula>
    </cfRule>
    <cfRule type="cellIs" dxfId="3" priority="62" operator="equal">
      <formula>0</formula>
    </cfRule>
  </conditionalFormatting>
  <conditionalFormatting sqref="P59">
    <cfRule type="cellIs" dxfId="2" priority="55" operator="equal">
      <formula>0</formula>
    </cfRule>
    <cfRule type="cellIs" dxfId="1" priority="56" operator="notBetween">
      <formula>-0.01</formula>
      <formula>0.01</formula>
    </cfRule>
  </conditionalFormatting>
  <pageMargins left="0.70866141732283461" right="0.70866141732283461" top="0.31496062992125984" bottom="0.55118110236220474" header="0.31496062992125984" footer="0.31496062992125984"/>
  <pageSetup paperSize="9" scale="62" fitToHeight="0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20">
    <pageSetUpPr fitToPage="1"/>
  </sheetPr>
  <dimension ref="A1:L71"/>
  <sheetViews>
    <sheetView zoomScale="93" zoomScaleNormal="55" workbookViewId="0">
      <selection activeCell="F66" sqref="F66"/>
    </sheetView>
  </sheetViews>
  <sheetFormatPr defaultColWidth="9.109375" defaultRowHeight="15.6" x14ac:dyDescent="0.3"/>
  <cols>
    <col min="1" max="1" width="5.44140625" style="16" customWidth="1"/>
    <col min="2" max="2" width="80.77734375" style="21" customWidth="1"/>
    <col min="3" max="3" width="12.44140625" style="28" customWidth="1"/>
    <col min="4" max="4" width="8.6640625" style="16" customWidth="1"/>
    <col min="5" max="5" width="15.6640625" style="20" customWidth="1"/>
    <col min="6" max="7" width="15.6640625" style="16" customWidth="1"/>
    <col min="8" max="8" width="15.6640625" style="20" customWidth="1"/>
    <col min="9" max="10" width="12.44140625" style="32" customWidth="1"/>
    <col min="11" max="11" width="10.44140625" style="16" bestFit="1" customWidth="1"/>
    <col min="12" max="16384" width="9.109375" style="16"/>
  </cols>
  <sheetData>
    <row r="1" spans="1:11" x14ac:dyDescent="0.3">
      <c r="A1" s="29"/>
      <c r="B1" s="23"/>
      <c r="C1" s="30"/>
      <c r="D1" s="24"/>
      <c r="E1" s="33"/>
      <c r="F1" s="34"/>
      <c r="G1" s="33"/>
      <c r="H1" s="25"/>
    </row>
    <row r="2" spans="1:11" x14ac:dyDescent="0.3">
      <c r="A2" s="15"/>
      <c r="B2" s="3" t="str">
        <f>+'Qual, Excl &amp; Assum'!B2</f>
        <v>PROJECT: Mr &amp; Mrs Hawkes-Cowands House</v>
      </c>
      <c r="F2" s="35"/>
      <c r="G2" s="20"/>
      <c r="H2" s="26"/>
    </row>
    <row r="3" spans="1:11" x14ac:dyDescent="0.3">
      <c r="A3" s="15"/>
      <c r="B3" s="53" t="str">
        <f>+'Qual, Excl &amp; Assum'!B3</f>
        <v>DATE: 25TH SEPTEMBER 2025</v>
      </c>
      <c r="F3" s="35"/>
      <c r="G3" s="20"/>
      <c r="H3" s="26"/>
    </row>
    <row r="4" spans="1:11" s="21" customFormat="1" ht="16.2" thickBot="1" x14ac:dyDescent="0.35">
      <c r="A4" s="15"/>
      <c r="B4" s="22"/>
      <c r="C4" s="28"/>
      <c r="E4" s="36"/>
      <c r="F4" s="37"/>
      <c r="G4" s="36"/>
      <c r="H4" s="27"/>
      <c r="I4" s="71"/>
      <c r="J4" s="71"/>
    </row>
    <row r="5" spans="1:11" s="21" customFormat="1" ht="37.5" customHeight="1" thickBot="1" x14ac:dyDescent="0.45">
      <c r="A5" s="222"/>
      <c r="B5" s="223" t="s">
        <v>9</v>
      </c>
      <c r="C5" s="250"/>
      <c r="D5" s="226"/>
      <c r="E5" s="227"/>
      <c r="F5" s="228"/>
      <c r="G5" s="227"/>
      <c r="H5" s="251"/>
      <c r="I5" s="374"/>
      <c r="J5" s="375"/>
    </row>
    <row r="6" spans="1:11" s="21" customFormat="1" ht="18" x14ac:dyDescent="0.35">
      <c r="A6" s="49"/>
      <c r="B6" s="38"/>
      <c r="C6" s="52"/>
      <c r="D6" s="38"/>
      <c r="E6" s="64"/>
      <c r="F6" s="201"/>
      <c r="G6" s="64"/>
      <c r="H6" s="206"/>
      <c r="I6" s="32"/>
      <c r="J6" s="32"/>
      <c r="K6" s="74">
        <v>1</v>
      </c>
    </row>
    <row r="7" spans="1:11" s="21" customFormat="1" ht="18" x14ac:dyDescent="0.35">
      <c r="A7" s="49"/>
      <c r="B7" s="3" t="s">
        <v>3</v>
      </c>
      <c r="C7" s="263" t="s">
        <v>8</v>
      </c>
      <c r="D7" s="264" t="s">
        <v>2</v>
      </c>
      <c r="E7" s="54" t="s">
        <v>1</v>
      </c>
      <c r="F7" s="265" t="s">
        <v>0</v>
      </c>
      <c r="G7" s="54" t="s">
        <v>36</v>
      </c>
      <c r="H7" s="229" t="s">
        <v>144</v>
      </c>
      <c r="I7" s="71"/>
      <c r="J7" s="71"/>
    </row>
    <row r="8" spans="1:11" s="21" customFormat="1" ht="18" x14ac:dyDescent="0.35">
      <c r="A8" s="49"/>
      <c r="B8" s="160"/>
      <c r="C8" s="248"/>
      <c r="D8" s="61"/>
      <c r="E8" s="62"/>
      <c r="F8" s="202"/>
      <c r="G8" s="62"/>
      <c r="H8" s="207"/>
      <c r="I8" s="32"/>
      <c r="J8" s="20"/>
    </row>
    <row r="9" spans="1:11" s="21" customFormat="1" ht="18" x14ac:dyDescent="0.35">
      <c r="A9" s="49">
        <v>1</v>
      </c>
      <c r="B9" s="249" t="s">
        <v>86</v>
      </c>
      <c r="C9" s="146">
        <v>1</v>
      </c>
      <c r="D9" s="51" t="s">
        <v>59</v>
      </c>
      <c r="E9" s="48">
        <v>1200</v>
      </c>
      <c r="F9" s="203">
        <f>E9*C9</f>
        <v>1200</v>
      </c>
      <c r="G9" s="48"/>
      <c r="H9" s="203">
        <f>IF(D9=0," ",(G9)*(Details!$C$4+Details!$C$8))</f>
        <v>0</v>
      </c>
      <c r="I9" s="32"/>
      <c r="J9" s="20"/>
    </row>
    <row r="10" spans="1:11" s="21" customFormat="1" ht="18" x14ac:dyDescent="0.35">
      <c r="A10" s="49"/>
      <c r="B10" s="160"/>
      <c r="C10" s="248"/>
      <c r="D10" s="61"/>
      <c r="E10" s="62"/>
      <c r="F10" s="202"/>
      <c r="G10" s="62"/>
      <c r="H10" s="207"/>
      <c r="I10" s="32"/>
      <c r="J10" s="20"/>
    </row>
    <row r="11" spans="1:11" s="21" customFormat="1" ht="18" x14ac:dyDescent="0.35">
      <c r="A11" s="75">
        <f>IF(F11&lt;&gt;"",(LARGE(A$7:A10,1)+1),"")</f>
        <v>2</v>
      </c>
      <c r="B11" s="249" t="s">
        <v>50</v>
      </c>
      <c r="C11" s="146">
        <v>1</v>
      </c>
      <c r="D11" s="51" t="s">
        <v>12</v>
      </c>
      <c r="E11" s="48">
        <v>850</v>
      </c>
      <c r="F11" s="203">
        <f>E11*C11</f>
        <v>850</v>
      </c>
      <c r="G11" s="48"/>
      <c r="H11" s="203">
        <f>IF(D11=0," ",(G11)*(Details!$C$4+Details!$C$8))</f>
        <v>0</v>
      </c>
      <c r="I11" s="32"/>
      <c r="J11" s="72"/>
    </row>
    <row r="12" spans="1:11" s="21" customFormat="1" ht="18" x14ac:dyDescent="0.35">
      <c r="A12" s="75" t="str">
        <f>IF(F12&lt;&gt;"",(LARGE(A$7:A11,1)+1),"")</f>
        <v/>
      </c>
      <c r="B12" s="38"/>
      <c r="C12" s="146"/>
      <c r="D12" s="60"/>
      <c r="E12" s="48"/>
      <c r="F12" s="203"/>
      <c r="G12" s="48"/>
      <c r="H12" s="207"/>
      <c r="I12" s="32"/>
      <c r="J12" s="20"/>
    </row>
    <row r="13" spans="1:11" s="21" customFormat="1" ht="18" x14ac:dyDescent="0.35">
      <c r="A13" s="75">
        <f>IF(F13&lt;&gt;"",(LARGE(A$7:A12,1)+1),"")</f>
        <v>3</v>
      </c>
      <c r="B13" s="38" t="s">
        <v>39</v>
      </c>
      <c r="C13" s="146">
        <v>1</v>
      </c>
      <c r="D13" s="51" t="s">
        <v>11</v>
      </c>
      <c r="E13" s="48">
        <v>600</v>
      </c>
      <c r="F13" s="203">
        <f>E13*C13</f>
        <v>600</v>
      </c>
      <c r="G13" s="48"/>
      <c r="H13" s="203">
        <f>IF(D13=0," ",(G13)*(Details!$C$4+Details!$C$8))</f>
        <v>0</v>
      </c>
      <c r="I13" s="32"/>
      <c r="J13" s="20"/>
    </row>
    <row r="14" spans="1:11" s="21" customFormat="1" ht="18" x14ac:dyDescent="0.35">
      <c r="A14" s="75" t="str">
        <f>IF(F14&lt;&gt;"",(LARGE(A$7:A13,1)+1),"")</f>
        <v/>
      </c>
      <c r="B14" s="38"/>
      <c r="C14" s="146"/>
      <c r="D14" s="51"/>
      <c r="E14" s="48"/>
      <c r="F14" s="203"/>
      <c r="G14" s="48"/>
      <c r="H14" s="207"/>
      <c r="I14" s="32"/>
      <c r="J14" s="20"/>
    </row>
    <row r="15" spans="1:11" s="21" customFormat="1" ht="18" x14ac:dyDescent="0.35">
      <c r="A15" s="75">
        <f>IF(F15&lt;&gt;"",(LARGE(A$7:A14,1)+1),"")</f>
        <v>4</v>
      </c>
      <c r="B15" s="153" t="s">
        <v>40</v>
      </c>
      <c r="C15" s="146">
        <v>1</v>
      </c>
      <c r="D15" s="51" t="s">
        <v>11</v>
      </c>
      <c r="E15" s="48">
        <v>1000</v>
      </c>
      <c r="F15" s="203">
        <f>E15*C15</f>
        <v>1000</v>
      </c>
      <c r="G15" s="48"/>
      <c r="H15" s="203">
        <f>IF(D15=0," ",(G15)*(Details!$C$4+Details!$C$8))</f>
        <v>0</v>
      </c>
      <c r="I15" s="32"/>
      <c r="J15" s="20"/>
    </row>
    <row r="16" spans="1:11" s="21" customFormat="1" ht="18" x14ac:dyDescent="0.35">
      <c r="A16" s="75" t="str">
        <f>IF(F16&lt;&gt;"",(LARGE(A$7:A15,1)+1),"")</f>
        <v/>
      </c>
      <c r="B16" s="153"/>
      <c r="C16" s="146"/>
      <c r="D16" s="60"/>
      <c r="E16" s="48"/>
      <c r="F16" s="203"/>
      <c r="G16" s="48"/>
      <c r="H16" s="207"/>
      <c r="I16" s="32"/>
      <c r="J16" s="20"/>
      <c r="K16" s="80"/>
    </row>
    <row r="17" spans="1:11" s="21" customFormat="1" ht="18" x14ac:dyDescent="0.35">
      <c r="A17" s="75">
        <f>IF(F17&lt;&gt;"",(LARGE(A$7:A16,1)+1),"")</f>
        <v>5</v>
      </c>
      <c r="B17" s="153" t="s">
        <v>41</v>
      </c>
      <c r="C17" s="146">
        <v>1</v>
      </c>
      <c r="D17" s="51" t="s">
        <v>11</v>
      </c>
      <c r="E17" s="48">
        <v>650</v>
      </c>
      <c r="F17" s="203">
        <f>E17*C17</f>
        <v>650</v>
      </c>
      <c r="G17" s="48"/>
      <c r="H17" s="203">
        <f>IF(D17=0," ",(G17)*(Details!$C$4+Details!$C$8))</f>
        <v>0</v>
      </c>
      <c r="I17" s="32"/>
      <c r="J17" s="20"/>
    </row>
    <row r="18" spans="1:11" s="21" customFormat="1" ht="18" x14ac:dyDescent="0.35">
      <c r="A18" s="75" t="str">
        <f>IF(F18&lt;&gt;"",(LARGE(A$7:A17,1)+1),"")</f>
        <v/>
      </c>
      <c r="B18" s="153"/>
      <c r="C18" s="146"/>
      <c r="D18" s="60"/>
      <c r="E18" s="48"/>
      <c r="F18" s="203"/>
      <c r="G18" s="48"/>
      <c r="H18" s="207"/>
      <c r="I18" s="32"/>
      <c r="J18" s="20"/>
      <c r="K18" s="36"/>
    </row>
    <row r="19" spans="1:11" s="21" customFormat="1" ht="18" x14ac:dyDescent="0.35">
      <c r="A19" s="75">
        <f>IF(F19&lt;&gt;"",(LARGE(A$7:A18,1)+1),"")</f>
        <v>6</v>
      </c>
      <c r="B19" s="153" t="s">
        <v>42</v>
      </c>
      <c r="C19" s="146">
        <v>1</v>
      </c>
      <c r="D19" s="51" t="s">
        <v>11</v>
      </c>
      <c r="E19" s="48">
        <v>500</v>
      </c>
      <c r="F19" s="203">
        <f>E19*C19</f>
        <v>500</v>
      </c>
      <c r="G19" s="48"/>
      <c r="H19" s="203">
        <f>IF(D19=0," ",(G19)*(Details!$C$4+Details!$C$8))</f>
        <v>0</v>
      </c>
      <c r="I19" s="32"/>
      <c r="J19" s="20"/>
    </row>
    <row r="20" spans="1:11" s="21" customFormat="1" ht="18" x14ac:dyDescent="0.35">
      <c r="A20" s="75" t="str">
        <f>IF(F20&lt;&gt;"",(LARGE(A$7:A19,1)+1),"")</f>
        <v/>
      </c>
      <c r="B20" s="153"/>
      <c r="C20" s="146"/>
      <c r="D20" s="60"/>
      <c r="E20" s="48"/>
      <c r="F20" s="203"/>
      <c r="G20" s="48"/>
      <c r="H20" s="207"/>
      <c r="I20" s="32"/>
      <c r="J20" s="20"/>
    </row>
    <row r="21" spans="1:11" s="21" customFormat="1" ht="18" x14ac:dyDescent="0.35">
      <c r="A21" s="75">
        <f>IF(F21&lt;&gt;"",(LARGE(A$7:A20,1)+1),"")</f>
        <v>7</v>
      </c>
      <c r="B21" s="153" t="s">
        <v>43</v>
      </c>
      <c r="C21" s="146">
        <v>1</v>
      </c>
      <c r="D21" s="51" t="s">
        <v>11</v>
      </c>
      <c r="E21" s="48">
        <v>1000</v>
      </c>
      <c r="F21" s="203">
        <f>E21*C21</f>
        <v>1000</v>
      </c>
      <c r="G21" s="48"/>
      <c r="H21" s="203">
        <f>IF(D21=0," ",(G21)*(Details!$C$4+Details!$C$8))</f>
        <v>0</v>
      </c>
      <c r="I21" s="32"/>
      <c r="J21" s="20"/>
    </row>
    <row r="22" spans="1:11" s="21" customFormat="1" ht="18" x14ac:dyDescent="0.35">
      <c r="A22" s="75" t="str">
        <f>IF(F22&lt;&gt;"",(LARGE(A$7:A21,1)+1),"")</f>
        <v/>
      </c>
      <c r="B22" s="153"/>
      <c r="C22" s="146"/>
      <c r="D22" s="60"/>
      <c r="E22" s="48"/>
      <c r="F22" s="203"/>
      <c r="G22" s="48"/>
      <c r="H22" s="207"/>
      <c r="I22" s="32"/>
      <c r="J22" s="20"/>
    </row>
    <row r="23" spans="1:11" s="21" customFormat="1" ht="18" x14ac:dyDescent="0.35">
      <c r="A23" s="75">
        <f>IF(F23&lt;&gt;"",(LARGE(A$7:A22,1)+1),"")</f>
        <v>8</v>
      </c>
      <c r="B23" s="153" t="s">
        <v>44</v>
      </c>
      <c r="C23" s="146">
        <v>1</v>
      </c>
      <c r="D23" s="51" t="s">
        <v>11</v>
      </c>
      <c r="E23" s="48">
        <v>1250</v>
      </c>
      <c r="F23" s="203">
        <f>E23*C23</f>
        <v>1250</v>
      </c>
      <c r="G23" s="48"/>
      <c r="H23" s="203">
        <f>IF(D23=0," ",(G23)*(Details!$C$4+Details!$C$8))</f>
        <v>0</v>
      </c>
      <c r="I23" s="32"/>
      <c r="J23" s="20"/>
    </row>
    <row r="24" spans="1:11" s="21" customFormat="1" ht="18" x14ac:dyDescent="0.35">
      <c r="A24" s="75" t="str">
        <f>IF(F24&lt;&gt;"",(LARGE(A$7:A23,1)+1),"")</f>
        <v/>
      </c>
      <c r="B24" s="153"/>
      <c r="C24" s="146"/>
      <c r="D24" s="60"/>
      <c r="E24" s="48"/>
      <c r="F24" s="203"/>
      <c r="G24" s="48"/>
      <c r="H24" s="207"/>
      <c r="I24" s="32"/>
      <c r="J24" s="20"/>
    </row>
    <row r="25" spans="1:11" s="21" customFormat="1" ht="18" x14ac:dyDescent="0.35">
      <c r="A25" s="75">
        <f>IF(F25&lt;&gt;"",(LARGE(A$7:A24,1)+1),"")</f>
        <v>9</v>
      </c>
      <c r="B25" s="153" t="s">
        <v>95</v>
      </c>
      <c r="C25" s="146">
        <v>1</v>
      </c>
      <c r="D25" s="51" t="s">
        <v>11</v>
      </c>
      <c r="E25" s="48">
        <v>800</v>
      </c>
      <c r="F25" s="203">
        <f>E25*C25</f>
        <v>800</v>
      </c>
      <c r="G25" s="48"/>
      <c r="H25" s="203">
        <f>IF(D25=0," ",(G25)*(Details!$C$4+Details!$C$8))</f>
        <v>0</v>
      </c>
      <c r="I25" s="32"/>
      <c r="J25" s="20"/>
    </row>
    <row r="26" spans="1:11" s="21" customFormat="1" ht="18" x14ac:dyDescent="0.35">
      <c r="A26" s="75" t="str">
        <f>IF(F26&lt;&gt;"",(LARGE(A$7:A25,1)+1),"")</f>
        <v/>
      </c>
      <c r="B26" s="153"/>
      <c r="C26" s="146"/>
      <c r="D26" s="51"/>
      <c r="E26" s="48"/>
      <c r="F26" s="203"/>
      <c r="G26" s="48"/>
      <c r="H26" s="207"/>
      <c r="I26" s="32"/>
      <c r="J26" s="20"/>
    </row>
    <row r="27" spans="1:11" s="21" customFormat="1" ht="18" x14ac:dyDescent="0.35">
      <c r="A27" s="75">
        <f>IF(F27&lt;&gt;"",(LARGE(A$7:A26,1)+1),"")</f>
        <v>10</v>
      </c>
      <c r="B27" s="153" t="s">
        <v>63</v>
      </c>
      <c r="C27" s="146">
        <v>1</v>
      </c>
      <c r="D27" s="51" t="s">
        <v>11</v>
      </c>
      <c r="E27" s="48">
        <v>1350</v>
      </c>
      <c r="F27" s="203">
        <f>E27*C27</f>
        <v>1350</v>
      </c>
      <c r="G27" s="48"/>
      <c r="H27" s="203">
        <f>IF(D27=0," ",(G27)*(Details!$C$4+Details!$C$8))</f>
        <v>0</v>
      </c>
      <c r="I27" s="32"/>
      <c r="J27" s="20"/>
    </row>
    <row r="28" spans="1:11" s="21" customFormat="1" ht="18" x14ac:dyDescent="0.35">
      <c r="A28" s="75" t="str">
        <f>IF(F28&lt;&gt;"",(LARGE(A$7:A27,1)+1),"")</f>
        <v/>
      </c>
      <c r="B28" s="153"/>
      <c r="C28" s="146"/>
      <c r="D28" s="51"/>
      <c r="E28" s="48"/>
      <c r="F28" s="203"/>
      <c r="G28" s="48"/>
      <c r="H28" s="207"/>
      <c r="I28" s="32"/>
      <c r="J28" s="20"/>
    </row>
    <row r="29" spans="1:11" s="21" customFormat="1" ht="18" x14ac:dyDescent="0.35">
      <c r="A29" s="75">
        <f>IF(F29&lt;&gt;"",(LARGE(A$7:A28,1)+1),"")</f>
        <v>11</v>
      </c>
      <c r="B29" s="153" t="s">
        <v>64</v>
      </c>
      <c r="C29" s="146">
        <v>1</v>
      </c>
      <c r="D29" s="51" t="s">
        <v>11</v>
      </c>
      <c r="E29" s="48">
        <v>1000</v>
      </c>
      <c r="F29" s="203">
        <f>E29*C29</f>
        <v>1000</v>
      </c>
      <c r="G29" s="48"/>
      <c r="H29" s="203">
        <f>IF(D29=0," ",(G29)*(Details!$C$4+Details!$C$8))</f>
        <v>0</v>
      </c>
      <c r="I29" s="32"/>
      <c r="J29" s="20"/>
    </row>
    <row r="30" spans="1:11" s="21" customFormat="1" ht="18" x14ac:dyDescent="0.35">
      <c r="A30" s="75" t="str">
        <f>IF(F30&lt;&gt;"",(LARGE(A$7:A29,1)+1),"")</f>
        <v/>
      </c>
      <c r="B30" s="153"/>
      <c r="C30" s="146"/>
      <c r="D30" s="60"/>
      <c r="E30" s="48"/>
      <c r="F30" s="203"/>
      <c r="G30" s="48"/>
      <c r="H30" s="207"/>
      <c r="I30" s="32"/>
      <c r="J30" s="20"/>
    </row>
    <row r="31" spans="1:11" s="21" customFormat="1" ht="18" x14ac:dyDescent="0.35">
      <c r="A31" s="75">
        <f>IF(F31&lt;&gt;"",(LARGE(A$7:A30,1)+1),"")</f>
        <v>12</v>
      </c>
      <c r="B31" s="153" t="s">
        <v>165</v>
      </c>
      <c r="C31" s="146">
        <v>1</v>
      </c>
      <c r="D31" s="51" t="s">
        <v>11</v>
      </c>
      <c r="E31" s="48">
        <v>850</v>
      </c>
      <c r="F31" s="203">
        <f>E31*C31</f>
        <v>850</v>
      </c>
      <c r="G31" s="48"/>
      <c r="H31" s="203">
        <f>IF(D31=0," ",(G31)*(Details!$C$4+Details!$C$8))</f>
        <v>0</v>
      </c>
      <c r="I31" s="32"/>
      <c r="J31" s="20"/>
    </row>
    <row r="32" spans="1:11" s="21" customFormat="1" ht="18" x14ac:dyDescent="0.35">
      <c r="A32" s="75"/>
      <c r="B32" s="153"/>
      <c r="C32" s="146"/>
      <c r="D32" s="51"/>
      <c r="E32" s="48"/>
      <c r="F32" s="203"/>
      <c r="G32" s="48"/>
      <c r="H32" s="203" t="str">
        <f>IF(D32=0," ",(G32)*(Details!$C$4+Details!$C$6))</f>
        <v xml:space="preserve"> </v>
      </c>
      <c r="I32" s="32"/>
      <c r="J32" s="20"/>
    </row>
    <row r="33" spans="1:10" s="21" customFormat="1" ht="18" x14ac:dyDescent="0.35">
      <c r="A33" s="75">
        <f>IF(F33&lt;&gt;"",(LARGE(A$7:A32,1)+1),"")</f>
        <v>13</v>
      </c>
      <c r="B33" s="153" t="s">
        <v>221</v>
      </c>
      <c r="C33" s="146">
        <v>1</v>
      </c>
      <c r="D33" s="51" t="s">
        <v>11</v>
      </c>
      <c r="E33" s="48">
        <v>3500</v>
      </c>
      <c r="F33" s="203">
        <f>E33*C33</f>
        <v>3500</v>
      </c>
      <c r="G33" s="48"/>
      <c r="H33" s="203">
        <f>IF(D33=0," ",(G33)*(Details!$C$4+Details!$C$8))</f>
        <v>0</v>
      </c>
      <c r="I33" s="32"/>
      <c r="J33" s="20"/>
    </row>
    <row r="34" spans="1:10" s="21" customFormat="1" ht="18" x14ac:dyDescent="0.35">
      <c r="A34" s="75" t="str">
        <f>IF(F34&lt;&gt;"",(LARGE(A$7:A33,1)+1),"")</f>
        <v/>
      </c>
      <c r="B34" s="153"/>
      <c r="C34" s="146"/>
      <c r="D34" s="51"/>
      <c r="E34" s="48"/>
      <c r="F34" s="203"/>
      <c r="G34" s="48"/>
      <c r="H34" s="203" t="str">
        <f>IF(D34=0," ",(G34)*(Details!$C$4+Details!$C$6))</f>
        <v xml:space="preserve"> </v>
      </c>
      <c r="I34" s="32"/>
      <c r="J34" s="20"/>
    </row>
    <row r="35" spans="1:10" s="21" customFormat="1" ht="18" x14ac:dyDescent="0.35">
      <c r="A35" s="75" t="str">
        <f>IF(F35&lt;&gt;"",(LARGE(A$7:A34,1)+1),"")</f>
        <v/>
      </c>
      <c r="B35" s="153"/>
      <c r="C35" s="146"/>
      <c r="D35" s="60"/>
      <c r="E35" s="48"/>
      <c r="F35" s="203"/>
      <c r="G35" s="48"/>
      <c r="H35" s="203" t="str">
        <f>IF(D35=0," ",(G35)*(Details!$C$4+Details!$C$6))</f>
        <v xml:space="preserve"> </v>
      </c>
      <c r="I35" s="84"/>
      <c r="J35" s="20"/>
    </row>
    <row r="36" spans="1:10" s="21" customFormat="1" ht="18" x14ac:dyDescent="0.35">
      <c r="A36" s="75" t="str">
        <f>IF(F36&lt;&gt;"",(LARGE(A$7:A35,1)+1),"")</f>
        <v/>
      </c>
      <c r="B36" s="153"/>
      <c r="C36" s="146"/>
      <c r="D36" s="60"/>
      <c r="E36" s="48"/>
      <c r="F36" s="203"/>
      <c r="G36" s="48"/>
      <c r="H36" s="203" t="str">
        <f>IF(D36=0," ",(G36)*(Details!$C$4+Details!$C$6))</f>
        <v xml:space="preserve"> </v>
      </c>
      <c r="I36" s="32"/>
      <c r="J36" s="20"/>
    </row>
    <row r="37" spans="1:10" s="21" customFormat="1" ht="18" x14ac:dyDescent="0.35">
      <c r="A37" s="75" t="str">
        <f>IF(F37&lt;&gt;"",(LARGE(A$7:A36,1)+1),"")</f>
        <v/>
      </c>
      <c r="B37" s="153"/>
      <c r="C37" s="146"/>
      <c r="D37" s="60"/>
      <c r="E37" s="48"/>
      <c r="F37" s="203"/>
      <c r="G37" s="48"/>
      <c r="H37" s="203" t="str">
        <f>IF(D37=0," ",(G37)*(Details!$C$4+Details!$C$6))</f>
        <v xml:space="preserve"> </v>
      </c>
      <c r="I37" s="84"/>
      <c r="J37" s="20"/>
    </row>
    <row r="38" spans="1:10" s="21" customFormat="1" ht="18" x14ac:dyDescent="0.35">
      <c r="A38" s="75" t="str">
        <f>IF(F38&lt;&gt;"",(LARGE(A$7:A37,1)+1),"")</f>
        <v/>
      </c>
      <c r="B38" s="153"/>
      <c r="C38" s="146"/>
      <c r="D38" s="60"/>
      <c r="E38" s="48"/>
      <c r="F38" s="203"/>
      <c r="G38" s="48"/>
      <c r="H38" s="203" t="str">
        <f>IF(D38=0," ",(G38)*(Details!$C$4+Details!$C$6))</f>
        <v xml:space="preserve"> </v>
      </c>
      <c r="I38" s="32"/>
      <c r="J38" s="20"/>
    </row>
    <row r="39" spans="1:10" s="21" customFormat="1" ht="18" x14ac:dyDescent="0.35">
      <c r="A39" s="75" t="str">
        <f>IF(F39&lt;&gt;"",(LARGE(A$7:A38,1)+1),"")</f>
        <v/>
      </c>
      <c r="B39" s="153"/>
      <c r="C39" s="146"/>
      <c r="D39" s="60"/>
      <c r="E39" s="188"/>
      <c r="F39" s="203"/>
      <c r="G39" s="48"/>
      <c r="H39" s="203" t="str">
        <f>IF(D39=0," ",(G39)*(Details!$C$4+Details!$C$6))</f>
        <v xml:space="preserve"> </v>
      </c>
      <c r="I39" s="85"/>
      <c r="J39" s="20"/>
    </row>
    <row r="40" spans="1:10" s="21" customFormat="1" ht="18" x14ac:dyDescent="0.35">
      <c r="A40" s="75" t="str">
        <f>IF(F40&lt;&gt;"",(LARGE(A$7:A39,1)+1),"")</f>
        <v/>
      </c>
      <c r="B40" s="162"/>
      <c r="C40" s="146"/>
      <c r="D40" s="51"/>
      <c r="E40" s="48"/>
      <c r="F40" s="203"/>
      <c r="G40" s="48"/>
      <c r="H40" s="203" t="str">
        <f>IF(D40=0," ",(G40)*(Details!$C$4+Details!$C$6))</f>
        <v xml:space="preserve"> </v>
      </c>
      <c r="I40" s="32"/>
      <c r="J40" s="20"/>
    </row>
    <row r="41" spans="1:10" s="21" customFormat="1" ht="18" x14ac:dyDescent="0.35">
      <c r="A41" s="75" t="str">
        <f>IF(F41&lt;&gt;"",(LARGE(A$7:A40,1)+1),"")</f>
        <v/>
      </c>
      <c r="B41" s="153"/>
      <c r="C41" s="51"/>
      <c r="D41" s="51"/>
      <c r="E41" s="48"/>
      <c r="F41" s="203"/>
      <c r="G41" s="48"/>
      <c r="H41" s="203" t="str">
        <f>IF(D41=0," ",(G41)*(Details!$C$4+Details!$C$6))</f>
        <v xml:space="preserve"> </v>
      </c>
      <c r="I41" s="32"/>
      <c r="J41" s="20"/>
    </row>
    <row r="42" spans="1:10" s="21" customFormat="1" ht="18" x14ac:dyDescent="0.35">
      <c r="A42" s="75" t="str">
        <f>IF(F42&lt;&gt;"",(LARGE(A$7:A41,1)+1),"")</f>
        <v/>
      </c>
      <c r="B42" s="153"/>
      <c r="C42" s="146"/>
      <c r="D42" s="60"/>
      <c r="E42" s="48"/>
      <c r="F42" s="203"/>
      <c r="G42" s="48"/>
      <c r="H42" s="203" t="str">
        <f>IF(D42=0," ",(G42)*(Details!$C$4+Details!$C$6))</f>
        <v xml:space="preserve"> </v>
      </c>
      <c r="I42" s="32"/>
      <c r="J42" s="20"/>
    </row>
    <row r="43" spans="1:10" s="21" customFormat="1" ht="18" x14ac:dyDescent="0.35">
      <c r="A43" s="75" t="str">
        <f>IF(F43&lt;&gt;"",(LARGE(A$7:A42,1)+1),"")</f>
        <v/>
      </c>
      <c r="B43" s="153"/>
      <c r="C43" s="146"/>
      <c r="D43" s="60"/>
      <c r="E43" s="48"/>
      <c r="F43" s="203"/>
      <c r="G43" s="48"/>
      <c r="H43" s="203" t="str">
        <f>IF(D43=0," ",(G43)*(Details!$C$4+Details!$C$6))</f>
        <v xml:space="preserve"> </v>
      </c>
      <c r="I43" s="32"/>
      <c r="J43" s="20"/>
    </row>
    <row r="44" spans="1:10" s="21" customFormat="1" ht="18" x14ac:dyDescent="0.35">
      <c r="A44" s="75" t="str">
        <f>IF(F44&lt;&gt;"",(LARGE(A$7:A43,1)+1),"")</f>
        <v/>
      </c>
      <c r="B44" s="153"/>
      <c r="C44" s="146"/>
      <c r="D44" s="60"/>
      <c r="E44" s="48"/>
      <c r="F44" s="203"/>
      <c r="G44" s="48"/>
      <c r="H44" s="203" t="str">
        <f>IF(D44=0," ",(G44)*(Details!$C$4+Details!$C$6))</f>
        <v xml:space="preserve"> </v>
      </c>
      <c r="I44" s="32"/>
      <c r="J44" s="20"/>
    </row>
    <row r="45" spans="1:10" s="21" customFormat="1" ht="18" x14ac:dyDescent="0.35">
      <c r="A45" s="75" t="str">
        <f>IF(F45&lt;&gt;"",(LARGE(A$7:A44,1)+1),"")</f>
        <v/>
      </c>
      <c r="B45" s="153"/>
      <c r="C45" s="146"/>
      <c r="D45" s="60"/>
      <c r="E45" s="48"/>
      <c r="F45" s="203"/>
      <c r="G45" s="48"/>
      <c r="H45" s="203" t="str">
        <f>IF(D45=0," ",(G45)*(Details!$C$4+Details!$C$6))</f>
        <v xml:space="preserve"> </v>
      </c>
      <c r="I45" s="32"/>
      <c r="J45" s="20"/>
    </row>
    <row r="46" spans="1:10" s="21" customFormat="1" ht="18" x14ac:dyDescent="0.35">
      <c r="A46" s="75" t="str">
        <f>IF(F46&lt;&gt;"",(LARGE(A$7:A45,1)+1),"")</f>
        <v/>
      </c>
      <c r="B46" s="153"/>
      <c r="C46" s="146"/>
      <c r="D46" s="60"/>
      <c r="E46" s="48"/>
      <c r="F46" s="203"/>
      <c r="G46" s="48"/>
      <c r="H46" s="203" t="str">
        <f>IF(D46=0," ",(G46)*(Details!$C$4+Details!$C$6))</f>
        <v xml:space="preserve"> </v>
      </c>
      <c r="I46" s="32"/>
      <c r="J46" s="20"/>
    </row>
    <row r="47" spans="1:10" s="21" customFormat="1" ht="18" x14ac:dyDescent="0.35">
      <c r="A47" s="75" t="str">
        <f>IF(F47&lt;&gt;"",(LARGE(A$7:A46,1)+1),"")</f>
        <v/>
      </c>
      <c r="B47" s="153"/>
      <c r="C47" s="146"/>
      <c r="D47" s="60"/>
      <c r="E47" s="48"/>
      <c r="F47" s="203"/>
      <c r="G47" s="48"/>
      <c r="H47" s="203" t="str">
        <f>IF(D47=0," ",(G47)*(Details!$C$4+Details!$C$6))</f>
        <v xml:space="preserve"> </v>
      </c>
      <c r="I47" s="32"/>
      <c r="J47" s="20"/>
    </row>
    <row r="48" spans="1:10" s="21" customFormat="1" ht="18" x14ac:dyDescent="0.35">
      <c r="A48" s="75" t="str">
        <f>IF(F48&lt;&gt;"",(LARGE(A$7:A47,1)+1),"")</f>
        <v/>
      </c>
      <c r="B48" s="153"/>
      <c r="C48" s="146"/>
      <c r="D48" s="60"/>
      <c r="E48" s="48"/>
      <c r="F48" s="203"/>
      <c r="G48" s="48"/>
      <c r="H48" s="203" t="str">
        <f>IF(D48=0," ",(G48)*(Details!$C$4+Details!$C$6))</f>
        <v xml:space="preserve"> </v>
      </c>
      <c r="I48" s="32"/>
      <c r="J48" s="20"/>
    </row>
    <row r="49" spans="1:10" s="21" customFormat="1" ht="18" x14ac:dyDescent="0.35">
      <c r="A49" s="75"/>
      <c r="B49" s="153"/>
      <c r="C49" s="146"/>
      <c r="D49" s="60"/>
      <c r="E49" s="48"/>
      <c r="F49" s="203"/>
      <c r="G49" s="48"/>
      <c r="H49" s="203"/>
      <c r="I49" s="32"/>
      <c r="J49" s="20"/>
    </row>
    <row r="50" spans="1:10" s="21" customFormat="1" ht="18" x14ac:dyDescent="0.35">
      <c r="A50" s="75"/>
      <c r="B50" s="153"/>
      <c r="C50" s="146"/>
      <c r="D50" s="60"/>
      <c r="E50" s="48"/>
      <c r="F50" s="203"/>
      <c r="G50" s="48"/>
      <c r="H50" s="203"/>
      <c r="I50" s="32"/>
      <c r="J50" s="20"/>
    </row>
    <row r="51" spans="1:10" s="21" customFormat="1" ht="18" x14ac:dyDescent="0.35">
      <c r="A51" s="75" t="str">
        <f>IF(F51&lt;&gt;"",(LARGE(A$7:A50,1)+1),"")</f>
        <v/>
      </c>
      <c r="B51" s="153"/>
      <c r="C51" s="146"/>
      <c r="D51" s="60"/>
      <c r="E51" s="48"/>
      <c r="F51" s="203"/>
      <c r="G51" s="48"/>
      <c r="H51" s="203" t="str">
        <f>IF(D51=0," ",(G51)*(Details!$C$4+Details!$C$6))</f>
        <v xml:space="preserve"> </v>
      </c>
      <c r="I51" s="32"/>
      <c r="J51" s="20"/>
    </row>
    <row r="52" spans="1:10" s="21" customFormat="1" ht="18" x14ac:dyDescent="0.35">
      <c r="A52" s="75" t="str">
        <f>IF(F52&lt;&gt;"",(LARGE(A$7:A51,1)+1),"")</f>
        <v/>
      </c>
      <c r="B52" s="153"/>
      <c r="C52" s="146"/>
      <c r="D52" s="60"/>
      <c r="E52" s="48"/>
      <c r="F52" s="203"/>
      <c r="G52" s="48"/>
      <c r="H52" s="203" t="str">
        <f>IF(D52=0," ",(G52)*(Details!$C$4+Details!$C$6))</f>
        <v xml:space="preserve"> </v>
      </c>
      <c r="I52" s="32"/>
      <c r="J52" s="20"/>
    </row>
    <row r="53" spans="1:10" s="21" customFormat="1" ht="18" x14ac:dyDescent="0.35">
      <c r="A53" s="75" t="str">
        <f>IF(F53&lt;&gt;"",(LARGE(A$7:A52,1)+1),"")</f>
        <v/>
      </c>
      <c r="B53" s="153"/>
      <c r="C53" s="146"/>
      <c r="D53" s="60"/>
      <c r="E53" s="48"/>
      <c r="F53" s="203"/>
      <c r="G53" s="48"/>
      <c r="H53" s="203" t="str">
        <f>IF(D53=0," ",(G53)*(Details!$C$4+Details!$C$6))</f>
        <v xml:space="preserve"> </v>
      </c>
      <c r="I53" s="32"/>
      <c r="J53" s="20"/>
    </row>
    <row r="54" spans="1:10" s="21" customFormat="1" ht="18" x14ac:dyDescent="0.35">
      <c r="A54" s="75" t="str">
        <f>IF(F54&lt;&gt;"",(LARGE(A$7:A53,1)+1),"")</f>
        <v/>
      </c>
      <c r="B54" s="163"/>
      <c r="C54" s="146"/>
      <c r="D54" s="60"/>
      <c r="E54" s="48"/>
      <c r="F54" s="203"/>
      <c r="G54" s="48"/>
      <c r="H54" s="203" t="str">
        <f>IF(D54=0," ",(G54)*(Details!$C$4+Details!$C$6))</f>
        <v xml:space="preserve"> </v>
      </c>
      <c r="I54" s="32"/>
      <c r="J54" s="20"/>
    </row>
    <row r="55" spans="1:10" s="21" customFormat="1" ht="18" x14ac:dyDescent="0.35">
      <c r="A55" s="75" t="str">
        <f>IF(F55&lt;&gt;"",(LARGE(A$7:A54,1)+1),"")</f>
        <v/>
      </c>
      <c r="B55" s="153"/>
      <c r="C55" s="146"/>
      <c r="D55" s="60"/>
      <c r="E55" s="48"/>
      <c r="F55" s="203"/>
      <c r="G55" s="48"/>
      <c r="H55" s="203" t="str">
        <f>IF(D55=0," ",(G55)*(Details!$C$4+Details!$C$6))</f>
        <v xml:space="preserve"> </v>
      </c>
      <c r="I55" s="32"/>
      <c r="J55" s="20"/>
    </row>
    <row r="56" spans="1:10" s="21" customFormat="1" ht="18" x14ac:dyDescent="0.35">
      <c r="A56" s="75" t="str">
        <f>IF(F56&lt;&gt;"",(LARGE(A$7:A55,1)+1),"")</f>
        <v/>
      </c>
      <c r="B56" s="153"/>
      <c r="C56" s="146"/>
      <c r="D56" s="60"/>
      <c r="E56" s="48"/>
      <c r="F56" s="203"/>
      <c r="G56" s="48"/>
      <c r="H56" s="203" t="str">
        <f>IF(D56=0," ",(G56)*(Details!$C$4+Details!$C$6))</f>
        <v xml:space="preserve"> </v>
      </c>
      <c r="I56" s="32"/>
      <c r="J56" s="20"/>
    </row>
    <row r="57" spans="1:10" s="21" customFormat="1" ht="18" x14ac:dyDescent="0.35">
      <c r="A57" s="75" t="str">
        <f>IF(F57&lt;&gt;"",(LARGE(A$7:A56,1)+1),"")</f>
        <v/>
      </c>
      <c r="B57" s="153"/>
      <c r="C57" s="146"/>
      <c r="D57" s="60"/>
      <c r="E57" s="48"/>
      <c r="F57" s="203"/>
      <c r="G57" s="48"/>
      <c r="H57" s="203" t="str">
        <f>IF(D57=0," ",(G57)*(Details!$C$4+Details!$C$6))</f>
        <v xml:space="preserve"> </v>
      </c>
      <c r="I57" s="32"/>
      <c r="J57" s="20"/>
    </row>
    <row r="58" spans="1:10" s="21" customFormat="1" ht="18" x14ac:dyDescent="0.35">
      <c r="A58" s="75" t="str">
        <f>IF(F58&lt;&gt;"",(LARGE(A$7:A57,1)+1),"")</f>
        <v/>
      </c>
      <c r="B58" s="153"/>
      <c r="C58" s="146"/>
      <c r="D58" s="60"/>
      <c r="E58" s="48"/>
      <c r="F58" s="203"/>
      <c r="G58" s="48"/>
      <c r="H58" s="203" t="str">
        <f>IF(D58=0," ",(G58)*(Details!$C$4+Details!$C$6))</f>
        <v xml:space="preserve"> </v>
      </c>
      <c r="I58" s="32"/>
      <c r="J58" s="20"/>
    </row>
    <row r="59" spans="1:10" s="21" customFormat="1" ht="18" x14ac:dyDescent="0.35">
      <c r="A59" s="75" t="str">
        <f>IF(F59&lt;&gt;"",(LARGE(A$7:A58,1)+1),"")</f>
        <v/>
      </c>
      <c r="B59" s="153"/>
      <c r="C59" s="146"/>
      <c r="D59" s="60"/>
      <c r="E59" s="48"/>
      <c r="F59" s="203"/>
      <c r="G59" s="48"/>
      <c r="H59" s="203" t="str">
        <f>IF(D59=0," ",(G59)*(Details!$C$4+Details!$C$6))</f>
        <v xml:space="preserve"> </v>
      </c>
      <c r="I59" s="32"/>
      <c r="J59" s="20"/>
    </row>
    <row r="60" spans="1:10" s="21" customFormat="1" ht="18" x14ac:dyDescent="0.35">
      <c r="A60" s="75" t="str">
        <f>IF(F60&lt;&gt;"",(LARGE(A$7:A59,1)+1),"")</f>
        <v/>
      </c>
      <c r="B60" s="153"/>
      <c r="C60" s="146"/>
      <c r="D60" s="60"/>
      <c r="E60" s="48"/>
      <c r="F60" s="203"/>
      <c r="G60" s="48"/>
      <c r="H60" s="203" t="str">
        <f>IF(D60=0," ",(G60)*(Details!$C$4+Details!$C$6))</f>
        <v xml:space="preserve"> </v>
      </c>
      <c r="I60" s="32"/>
      <c r="J60" s="20"/>
    </row>
    <row r="61" spans="1:10" s="21" customFormat="1" ht="18" x14ac:dyDescent="0.35">
      <c r="A61" s="75" t="str">
        <f>IF(F61&lt;&gt;"",(LARGE(A$7:A60,1)+1),"")</f>
        <v/>
      </c>
      <c r="B61" s="153"/>
      <c r="C61" s="146"/>
      <c r="D61" s="60"/>
      <c r="E61" s="48"/>
      <c r="F61" s="203"/>
      <c r="G61" s="48"/>
      <c r="H61" s="203" t="str">
        <f>IF(D61=0," ",(G61)*(Details!$C$4+Details!$C$6))</f>
        <v xml:space="preserve"> </v>
      </c>
      <c r="I61" s="32"/>
      <c r="J61" s="20"/>
    </row>
    <row r="62" spans="1:10" s="21" customFormat="1" ht="18" x14ac:dyDescent="0.35">
      <c r="A62" s="75" t="str">
        <f>IF(F62&lt;&gt;"",(LARGE(A$7:A61,1)+1),"")</f>
        <v/>
      </c>
      <c r="B62" s="153"/>
      <c r="C62" s="146"/>
      <c r="D62" s="60"/>
      <c r="E62" s="48"/>
      <c r="F62" s="203"/>
      <c r="G62" s="48"/>
      <c r="H62" s="203" t="str">
        <f>IF(D62=0," ",(G62)*(Details!$C$4+Details!$C$6))</f>
        <v xml:space="preserve"> </v>
      </c>
      <c r="I62" s="32"/>
      <c r="J62" s="20"/>
    </row>
    <row r="63" spans="1:10" s="21" customFormat="1" ht="18" x14ac:dyDescent="0.35">
      <c r="A63" s="75" t="str">
        <f>IF(F63&lt;&gt;"",(LARGE(A$7:A62,1)+1),"")</f>
        <v/>
      </c>
      <c r="B63" s="153"/>
      <c r="C63" s="146"/>
      <c r="D63" s="60"/>
      <c r="E63" s="48"/>
      <c r="F63" s="203"/>
      <c r="G63" s="48"/>
      <c r="H63" s="203" t="str">
        <f>IF(D63=0," ",(G63)*(Details!$C$4+Details!$C$6))</f>
        <v xml:space="preserve"> </v>
      </c>
      <c r="I63" s="32"/>
      <c r="J63" s="20"/>
    </row>
    <row r="64" spans="1:10" s="21" customFormat="1" ht="18" x14ac:dyDescent="0.35">
      <c r="A64" s="75" t="str">
        <f>IF(F64&lt;&gt;"",(LARGE(A$7:A63,1)+1),"")</f>
        <v/>
      </c>
      <c r="B64" s="153"/>
      <c r="C64" s="146"/>
      <c r="D64" s="60"/>
      <c r="E64" s="48"/>
      <c r="F64" s="203"/>
      <c r="G64" s="48"/>
      <c r="H64" s="203" t="str">
        <f>IF(D64=0," ",(G64)*(Details!$C$4))</f>
        <v xml:space="preserve"> </v>
      </c>
      <c r="I64" s="32"/>
      <c r="J64" s="20"/>
    </row>
    <row r="65" spans="1:12" s="21" customFormat="1" ht="18.600000000000001" thickBot="1" x14ac:dyDescent="0.4">
      <c r="A65" s="75" t="str">
        <f>IF(D65=0," ",(LARGE(A$9:A64,1)+1))</f>
        <v xml:space="preserve"> </v>
      </c>
      <c r="B65" s="164"/>
      <c r="C65" s="52"/>
      <c r="D65" s="60"/>
      <c r="E65" s="62" t="s">
        <v>115</v>
      </c>
      <c r="F65" s="204">
        <f>SUM(F1:F64)</f>
        <v>14550</v>
      </c>
      <c r="G65" s="48"/>
      <c r="H65" s="203"/>
      <c r="I65" s="32"/>
      <c r="J65" s="20"/>
    </row>
    <row r="66" spans="1:12" s="21" customFormat="1" ht="19.2" thickTop="1" thickBot="1" x14ac:dyDescent="0.4">
      <c r="A66" s="50"/>
      <c r="B66" s="166"/>
      <c r="C66" s="167"/>
      <c r="D66" s="63"/>
      <c r="E66" s="65"/>
      <c r="F66" s="205"/>
      <c r="G66" s="65"/>
      <c r="H66" s="67"/>
      <c r="I66" s="32"/>
      <c r="J66" s="20"/>
    </row>
    <row r="67" spans="1:12" s="21" customFormat="1" x14ac:dyDescent="0.3">
      <c r="A67" s="16"/>
      <c r="C67" s="28"/>
      <c r="D67" s="16"/>
      <c r="E67" s="20"/>
      <c r="F67" s="16"/>
      <c r="G67" s="16"/>
      <c r="H67" s="20"/>
      <c r="I67" s="32"/>
      <c r="J67" s="32"/>
    </row>
    <row r="68" spans="1:12" s="21" customFormat="1" ht="17.55" customHeight="1" x14ac:dyDescent="0.3">
      <c r="A68" s="16"/>
      <c r="C68" s="28"/>
      <c r="D68" s="16"/>
      <c r="E68" s="20"/>
      <c r="F68" s="16"/>
      <c r="G68" s="16"/>
      <c r="H68" s="20"/>
      <c r="I68" s="32"/>
      <c r="J68" s="32"/>
    </row>
    <row r="69" spans="1:12" s="21" customFormat="1" x14ac:dyDescent="0.3">
      <c r="A69" s="16"/>
      <c r="C69" s="28"/>
      <c r="D69" s="16"/>
      <c r="E69" s="20"/>
      <c r="F69" s="16"/>
      <c r="G69" s="16"/>
      <c r="H69" s="20"/>
      <c r="I69" s="32"/>
      <c r="J69" s="32"/>
    </row>
    <row r="70" spans="1:12" s="21" customFormat="1" x14ac:dyDescent="0.3">
      <c r="A70" s="16"/>
      <c r="C70" s="28"/>
      <c r="D70" s="16"/>
      <c r="E70" s="20"/>
      <c r="F70" s="16"/>
      <c r="G70" s="16"/>
      <c r="H70" s="20"/>
      <c r="I70" s="32"/>
      <c r="J70" s="32"/>
      <c r="L70" s="55"/>
    </row>
    <row r="71" spans="1:12" s="21" customFormat="1" x14ac:dyDescent="0.3">
      <c r="A71" s="16"/>
      <c r="C71" s="28"/>
      <c r="D71" s="16"/>
      <c r="E71" s="20"/>
      <c r="F71" s="16"/>
      <c r="G71" s="16"/>
      <c r="H71" s="20"/>
      <c r="I71" s="32"/>
      <c r="J71" s="32"/>
      <c r="L71" s="55"/>
    </row>
  </sheetData>
  <mergeCells count="1">
    <mergeCell ref="I5:J5"/>
  </mergeCells>
  <conditionalFormatting sqref="G1:G3 G8:G10562">
    <cfRule type="notContainsBlanks" dxfId="0" priority="1">
      <formula>LEN(TRIM(G1))&gt;0</formula>
    </cfRule>
  </conditionalFormatting>
  <dataValidations count="1">
    <dataValidation type="list" allowBlank="1" showInputMessage="1" showErrorMessage="1" sqref="I5:J5" xr:uid="{00000000-0002-0000-1200-000000000000}">
      <formula1>"Location 1,Location 2,Location 3,Location 4,Location 5,"</formula1>
    </dataValidation>
  </dataValidations>
  <pageMargins left="0.70866141732283461" right="0.70866141732283461" top="0.31496062992125984" bottom="0.55118110236220474" header="0.31496062992125984" footer="0.31496062992125984"/>
  <pageSetup paperSize="9" scale="62" fitToHeight="0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22"/>
  <dimension ref="A1:R45"/>
  <sheetViews>
    <sheetView zoomScale="125" workbookViewId="0">
      <selection activeCell="C23" sqref="C23"/>
    </sheetView>
  </sheetViews>
  <sheetFormatPr defaultColWidth="9.109375" defaultRowHeight="14.4" x14ac:dyDescent="0.3"/>
  <cols>
    <col min="1" max="1" width="9.109375" style="271"/>
    <col min="2" max="2" width="45.6640625" style="271" customWidth="1"/>
    <col min="3" max="3" width="19.33203125" style="271" customWidth="1"/>
    <col min="4" max="4" width="13.33203125" style="271" customWidth="1"/>
    <col min="5" max="5" width="11.44140625" style="271" customWidth="1"/>
    <col min="6" max="7" width="9.109375" style="271"/>
    <col min="8" max="9" width="9.109375" style="311"/>
    <col min="10" max="13" width="19.109375" style="311" customWidth="1"/>
    <col min="14" max="18" width="9.109375" style="311"/>
    <col min="19" max="16384" width="9.109375" style="271"/>
  </cols>
  <sheetData>
    <row r="1" spans="2:16" ht="15" thickBot="1" x14ac:dyDescent="0.35"/>
    <row r="2" spans="2:16" ht="21.6" thickBot="1" x14ac:dyDescent="0.4">
      <c r="B2" s="272" t="s">
        <v>96</v>
      </c>
      <c r="C2" s="273"/>
      <c r="D2" s="273"/>
      <c r="E2" s="273"/>
      <c r="F2" s="274"/>
      <c r="I2" s="320"/>
      <c r="J2" s="321" t="s">
        <v>182</v>
      </c>
      <c r="K2" s="321">
        <f>+Summary!D40</f>
        <v>242313.56510000001</v>
      </c>
      <c r="L2" s="319"/>
      <c r="M2" s="318"/>
      <c r="N2" s="318"/>
      <c r="O2" s="312"/>
      <c r="P2" s="312"/>
    </row>
    <row r="3" spans="2:16" ht="18" x14ac:dyDescent="0.35">
      <c r="B3" s="275"/>
      <c r="C3" s="276"/>
      <c r="D3" s="277"/>
      <c r="E3" s="278"/>
      <c r="F3" s="279"/>
      <c r="I3" s="320"/>
      <c r="J3" s="321"/>
      <c r="K3" s="322"/>
      <c r="L3" s="323"/>
      <c r="M3" s="317"/>
      <c r="N3" s="317"/>
      <c r="O3" s="312"/>
      <c r="P3" s="312"/>
    </row>
    <row r="4" spans="2:16" ht="18" x14ac:dyDescent="0.35">
      <c r="B4" s="280" t="s">
        <v>183</v>
      </c>
      <c r="C4" s="281">
        <v>0.1</v>
      </c>
      <c r="D4" s="282">
        <f>+C4+1</f>
        <v>1.1000000000000001</v>
      </c>
      <c r="E4" s="283"/>
      <c r="F4" s="284"/>
      <c r="I4" s="320"/>
      <c r="J4" s="321" t="s">
        <v>166</v>
      </c>
      <c r="K4" s="321">
        <f>+(Summary!F36+Summary!G36)*1.1</f>
        <v>239083.46891</v>
      </c>
      <c r="L4" s="323"/>
      <c r="M4" s="317"/>
      <c r="N4" s="317"/>
      <c r="O4" s="312"/>
      <c r="P4" s="312"/>
    </row>
    <row r="5" spans="2:16" ht="15.6" x14ac:dyDescent="0.3">
      <c r="B5" s="285"/>
      <c r="C5" s="286"/>
      <c r="D5" s="287"/>
      <c r="E5" s="288"/>
      <c r="F5" s="279"/>
      <c r="I5" s="316"/>
      <c r="J5" s="324"/>
      <c r="K5" s="324"/>
      <c r="L5" s="325"/>
      <c r="M5" s="326">
        <f>CEILING((K4/K27),4)</f>
        <v>24</v>
      </c>
      <c r="N5" s="327" t="s">
        <v>137</v>
      </c>
      <c r="O5" s="328"/>
      <c r="P5" s="313"/>
    </row>
    <row r="6" spans="2:16" ht="15.6" x14ac:dyDescent="0.3">
      <c r="B6" s="280" t="s">
        <v>184</v>
      </c>
      <c r="C6" s="281">
        <v>0.1</v>
      </c>
      <c r="D6" s="282">
        <f>+C6+1</f>
        <v>1.1000000000000001</v>
      </c>
      <c r="E6" s="283"/>
      <c r="F6" s="284"/>
      <c r="I6" s="316"/>
      <c r="J6" s="327"/>
      <c r="K6" s="327"/>
      <c r="L6" s="325"/>
      <c r="M6" s="327"/>
      <c r="N6" s="327"/>
      <c r="O6" s="328"/>
      <c r="P6" s="313"/>
    </row>
    <row r="7" spans="2:16" ht="15.6" x14ac:dyDescent="0.3">
      <c r="B7" s="285"/>
      <c r="C7" s="286"/>
      <c r="D7" s="287"/>
      <c r="E7" s="290"/>
      <c r="F7" s="279"/>
      <c r="I7" s="316"/>
      <c r="J7" s="327" t="s">
        <v>97</v>
      </c>
      <c r="K7" s="327">
        <v>0</v>
      </c>
      <c r="L7" s="325" t="str">
        <f>IF(AND($K$4&gt;=K7,$K$4&lt;=K8),N7,O7)</f>
        <v>No</v>
      </c>
      <c r="M7" s="327">
        <v>5000</v>
      </c>
      <c r="N7" s="327" t="s">
        <v>98</v>
      </c>
      <c r="O7" s="328" t="s">
        <v>108</v>
      </c>
      <c r="P7" s="313"/>
    </row>
    <row r="8" spans="2:16" ht="16.2" thickBot="1" x14ac:dyDescent="0.35">
      <c r="B8" s="291" t="s">
        <v>143</v>
      </c>
      <c r="C8" s="292">
        <v>0.05</v>
      </c>
      <c r="D8" s="293">
        <f>+C8+1</f>
        <v>1.05</v>
      </c>
      <c r="E8" s="294"/>
      <c r="F8" s="295"/>
      <c r="I8" s="316"/>
      <c r="J8" s="327"/>
      <c r="K8" s="327">
        <v>50000</v>
      </c>
      <c r="L8" s="325"/>
      <c r="M8" s="327"/>
      <c r="N8" s="327"/>
      <c r="O8" s="328"/>
      <c r="P8" s="313"/>
    </row>
    <row r="9" spans="2:16" ht="15.6" x14ac:dyDescent="0.3">
      <c r="I9" s="316"/>
      <c r="J9" s="327" t="s">
        <v>99</v>
      </c>
      <c r="K9" s="327">
        <f>K8</f>
        <v>50000</v>
      </c>
      <c r="L9" s="325" t="str">
        <f>IF(AND($K$4&gt;=K9,$K$4&lt;=K10),N9,O9)</f>
        <v>No</v>
      </c>
      <c r="M9" s="327">
        <v>9000</v>
      </c>
      <c r="N9" s="327" t="s">
        <v>98</v>
      </c>
      <c r="O9" s="328" t="s">
        <v>108</v>
      </c>
      <c r="P9" s="313"/>
    </row>
    <row r="10" spans="2:16" ht="15.6" x14ac:dyDescent="0.3">
      <c r="I10" s="316"/>
      <c r="J10" s="327"/>
      <c r="K10" s="327">
        <v>150000</v>
      </c>
      <c r="L10" s="325"/>
      <c r="M10" s="327"/>
      <c r="N10" s="326"/>
      <c r="O10" s="328"/>
      <c r="P10" s="313"/>
    </row>
    <row r="11" spans="2:16" ht="15.6" x14ac:dyDescent="0.3">
      <c r="I11" s="316"/>
      <c r="J11" s="327" t="s">
        <v>100</v>
      </c>
      <c r="K11" s="327">
        <f>K10</f>
        <v>150000</v>
      </c>
      <c r="L11" s="325" t="str">
        <f>IF(AND($K$4&gt;=K11,$K$4&lt;=K12),N11,O11)</f>
        <v>Yes</v>
      </c>
      <c r="M11" s="327">
        <v>10000</v>
      </c>
      <c r="N11" s="327" t="s">
        <v>98</v>
      </c>
      <c r="O11" s="328" t="s">
        <v>108</v>
      </c>
      <c r="P11" s="313"/>
    </row>
    <row r="12" spans="2:16" ht="15.6" x14ac:dyDescent="0.3">
      <c r="I12" s="316"/>
      <c r="J12" s="327"/>
      <c r="K12" s="327">
        <v>350000</v>
      </c>
      <c r="L12" s="325"/>
      <c r="M12" s="327"/>
      <c r="N12" s="326"/>
      <c r="O12" s="328"/>
      <c r="P12" s="313"/>
    </row>
    <row r="13" spans="2:16" ht="16.2" thickBot="1" x14ac:dyDescent="0.35">
      <c r="I13" s="316"/>
      <c r="J13" s="327" t="s">
        <v>101</v>
      </c>
      <c r="K13" s="327">
        <f>K12</f>
        <v>350000</v>
      </c>
      <c r="L13" s="325" t="str">
        <f>IF(AND($K$4&gt;=K13,$K$4&lt;=K14),N13,O13)</f>
        <v>No</v>
      </c>
      <c r="M13" s="327">
        <v>12500</v>
      </c>
      <c r="N13" s="327" t="s">
        <v>98</v>
      </c>
      <c r="O13" s="328" t="s">
        <v>108</v>
      </c>
      <c r="P13" s="313"/>
    </row>
    <row r="14" spans="2:16" ht="16.2" thickBot="1" x14ac:dyDescent="0.35">
      <c r="B14" s="296" t="s">
        <v>185</v>
      </c>
      <c r="C14" s="297" t="s">
        <v>192</v>
      </c>
      <c r="I14" s="316"/>
      <c r="J14" s="327"/>
      <c r="K14" s="327">
        <v>500000</v>
      </c>
      <c r="L14" s="325"/>
      <c r="M14" s="327"/>
      <c r="N14" s="326"/>
      <c r="O14" s="328"/>
      <c r="P14" s="313"/>
    </row>
    <row r="15" spans="2:16" ht="18" x14ac:dyDescent="0.35">
      <c r="B15" s="298" t="s">
        <v>190</v>
      </c>
      <c r="C15" s="299">
        <v>0</v>
      </c>
      <c r="I15" s="316"/>
      <c r="J15" s="327" t="s">
        <v>102</v>
      </c>
      <c r="K15" s="327">
        <f>K14</f>
        <v>500000</v>
      </c>
      <c r="L15" s="325" t="str">
        <f>IF(AND($K$4&gt;=K15,$K$4&lt;=K16),N15,O15)</f>
        <v>No</v>
      </c>
      <c r="M15" s="327">
        <v>14000</v>
      </c>
      <c r="N15" s="327" t="s">
        <v>98</v>
      </c>
      <c r="O15" s="328" t="s">
        <v>108</v>
      </c>
      <c r="P15" s="313"/>
    </row>
    <row r="16" spans="2:16" ht="18" x14ac:dyDescent="0.35">
      <c r="B16" s="300" t="s">
        <v>168</v>
      </c>
      <c r="C16" s="301"/>
      <c r="I16" s="316"/>
      <c r="J16" s="327"/>
      <c r="K16" s="327">
        <v>750000</v>
      </c>
      <c r="L16" s="325"/>
      <c r="M16" s="327"/>
      <c r="N16" s="326"/>
      <c r="O16" s="328"/>
      <c r="P16" s="313"/>
    </row>
    <row r="17" spans="1:16" ht="18" x14ac:dyDescent="0.35">
      <c r="B17" s="298" t="s">
        <v>169</v>
      </c>
      <c r="C17" s="299">
        <v>0</v>
      </c>
      <c r="I17" s="316"/>
      <c r="J17" s="327" t="s">
        <v>103</v>
      </c>
      <c r="K17" s="327">
        <v>750000</v>
      </c>
      <c r="L17" s="325" t="str">
        <f>IF(AND($K$4&gt;=K17,$K$4&lt;=K18),N17,O17)</f>
        <v>No</v>
      </c>
      <c r="M17" s="327">
        <v>15500</v>
      </c>
      <c r="N17" s="327" t="s">
        <v>98</v>
      </c>
      <c r="O17" s="328" t="s">
        <v>108</v>
      </c>
      <c r="P17" s="313"/>
    </row>
    <row r="18" spans="1:16" ht="18" x14ac:dyDescent="0.35">
      <c r="B18" s="302" t="s">
        <v>170</v>
      </c>
      <c r="C18" s="301"/>
      <c r="I18" s="316"/>
      <c r="J18" s="327"/>
      <c r="K18" s="327">
        <v>1000000</v>
      </c>
      <c r="L18" s="325"/>
      <c r="M18" s="327"/>
      <c r="N18" s="326"/>
      <c r="O18" s="328"/>
      <c r="P18" s="313"/>
    </row>
    <row r="19" spans="1:16" ht="18" x14ac:dyDescent="0.35">
      <c r="B19" s="298" t="s">
        <v>171</v>
      </c>
      <c r="C19" s="299"/>
      <c r="I19" s="316"/>
      <c r="J19" s="327" t="s">
        <v>104</v>
      </c>
      <c r="K19" s="327">
        <f>K18</f>
        <v>1000000</v>
      </c>
      <c r="L19" s="325" t="str">
        <f>IF(AND($K$4&gt;=K19,$K$4&lt;=K20),N19,O19)</f>
        <v>No</v>
      </c>
      <c r="M19" s="327">
        <v>16750</v>
      </c>
      <c r="N19" s="327" t="s">
        <v>98</v>
      </c>
      <c r="O19" s="328" t="s">
        <v>108</v>
      </c>
      <c r="P19" s="313"/>
    </row>
    <row r="20" spans="1:16" ht="18" x14ac:dyDescent="0.35">
      <c r="B20" s="302" t="s">
        <v>172</v>
      </c>
      <c r="C20" s="301">
        <v>0</v>
      </c>
      <c r="I20" s="316"/>
      <c r="J20" s="327"/>
      <c r="K20" s="327">
        <v>1250000</v>
      </c>
      <c r="L20" s="325"/>
      <c r="M20" s="327"/>
      <c r="N20" s="326"/>
      <c r="O20" s="328"/>
      <c r="P20" s="313"/>
    </row>
    <row r="21" spans="1:16" ht="18" x14ac:dyDescent="0.35">
      <c r="B21" s="298" t="s">
        <v>181</v>
      </c>
      <c r="C21" s="299"/>
      <c r="I21" s="316"/>
      <c r="J21" s="327" t="s">
        <v>105</v>
      </c>
      <c r="K21" s="327">
        <f>K20</f>
        <v>1250000</v>
      </c>
      <c r="L21" s="325" t="str">
        <f>IF(AND($K$4&gt;=K21,$K$4&lt;=K22),N21,O21)</f>
        <v>No</v>
      </c>
      <c r="M21" s="327">
        <v>19000</v>
      </c>
      <c r="N21" s="327" t="s">
        <v>98</v>
      </c>
      <c r="O21" s="328" t="s">
        <v>108</v>
      </c>
      <c r="P21" s="313"/>
    </row>
    <row r="22" spans="1:16" ht="18" x14ac:dyDescent="0.35">
      <c r="B22" s="302" t="s">
        <v>173</v>
      </c>
      <c r="C22" s="301"/>
      <c r="I22" s="316"/>
      <c r="J22" s="327"/>
      <c r="K22" s="327">
        <v>1500000</v>
      </c>
      <c r="L22" s="325"/>
      <c r="M22" s="327"/>
      <c r="N22" s="326"/>
      <c r="O22" s="328"/>
      <c r="P22" s="313"/>
    </row>
    <row r="23" spans="1:16" ht="18" x14ac:dyDescent="0.35">
      <c r="B23" s="298" t="s">
        <v>174</v>
      </c>
      <c r="C23" s="299">
        <v>0</v>
      </c>
      <c r="I23" s="316"/>
      <c r="J23" s="327" t="s">
        <v>106</v>
      </c>
      <c r="K23" s="327">
        <f>K22</f>
        <v>1500000</v>
      </c>
      <c r="L23" s="325" t="str">
        <f>IF(AND($K$4&gt;=K23,$K$4&lt;=K24),N23,O23)</f>
        <v>No</v>
      </c>
      <c r="M23" s="327">
        <v>20500</v>
      </c>
      <c r="N23" s="327" t="s">
        <v>98</v>
      </c>
      <c r="O23" s="328" t="s">
        <v>108</v>
      </c>
      <c r="P23" s="313"/>
    </row>
    <row r="24" spans="1:16" ht="18" x14ac:dyDescent="0.35">
      <c r="B24" s="302" t="s">
        <v>175</v>
      </c>
      <c r="C24" s="301">
        <v>0</v>
      </c>
      <c r="I24" s="316"/>
      <c r="J24" s="327"/>
      <c r="K24" s="327">
        <v>2000000</v>
      </c>
      <c r="L24" s="325"/>
      <c r="M24" s="326"/>
      <c r="N24" s="326"/>
      <c r="O24" s="328"/>
      <c r="P24" s="313"/>
    </row>
    <row r="25" spans="1:16" ht="18.600000000000001" thickBot="1" x14ac:dyDescent="0.4">
      <c r="B25" s="303" t="s">
        <v>176</v>
      </c>
      <c r="C25" s="304">
        <v>0</v>
      </c>
      <c r="I25" s="316"/>
      <c r="J25" s="327" t="s">
        <v>107</v>
      </c>
      <c r="K25" s="327">
        <f>K24</f>
        <v>2000000</v>
      </c>
      <c r="L25" s="325" t="str">
        <f>IF(AND($K$4&gt;=K25,$K$4&lt;=K26),N25,O25)</f>
        <v>No</v>
      </c>
      <c r="M25" s="327">
        <v>27500</v>
      </c>
      <c r="N25" s="327" t="s">
        <v>98</v>
      </c>
      <c r="O25" s="328" t="s">
        <v>108</v>
      </c>
      <c r="P25" s="313"/>
    </row>
    <row r="26" spans="1:16" ht="15.6" x14ac:dyDescent="0.3">
      <c r="B26" s="305"/>
      <c r="C26" s="306"/>
      <c r="D26" s="306"/>
      <c r="E26" s="306"/>
      <c r="I26" s="316"/>
      <c r="J26" s="327"/>
      <c r="K26" s="327">
        <v>500000000</v>
      </c>
      <c r="L26" s="325"/>
      <c r="M26" s="326"/>
      <c r="N26" s="326"/>
      <c r="O26" s="328"/>
      <c r="P26" s="313"/>
    </row>
    <row r="27" spans="1:16" ht="15.6" x14ac:dyDescent="0.3">
      <c r="A27" s="307"/>
      <c r="B27" s="308"/>
      <c r="C27" s="306"/>
      <c r="D27" s="306"/>
      <c r="E27" s="289"/>
      <c r="I27" s="316"/>
      <c r="J27" s="327" t="s">
        <v>150</v>
      </c>
      <c r="K27" s="327">
        <f>IF(L7="Yes",M7)+IF(L9="Yes",M9)+IF(L11="Yes",M11)+IF(L13="Yes",M13)+IF(L15="Yes",M15)+IF(L17="Yes",M17)+IF(L19="Yes",M19)+IF(L21="Yes",M21)+IF(L23="Yes",M23)</f>
        <v>10000</v>
      </c>
      <c r="L27" s="329"/>
      <c r="M27" s="326"/>
      <c r="N27" s="326"/>
      <c r="O27" s="328"/>
      <c r="P27" s="313"/>
    </row>
    <row r="28" spans="1:16" ht="15.6" x14ac:dyDescent="0.3">
      <c r="A28" s="307"/>
      <c r="B28" s="308"/>
      <c r="C28" s="306"/>
      <c r="D28" s="306"/>
      <c r="E28" s="289"/>
      <c r="I28" s="316"/>
      <c r="J28" s="327"/>
      <c r="K28" s="326"/>
      <c r="L28" s="329"/>
      <c r="M28" s="326"/>
      <c r="N28" s="326"/>
      <c r="O28" s="328"/>
      <c r="P28" s="313"/>
    </row>
    <row r="29" spans="1:16" ht="15.6" x14ac:dyDescent="0.3">
      <c r="A29" s="309"/>
      <c r="B29" s="308"/>
      <c r="C29" s="306"/>
      <c r="D29" s="306"/>
      <c r="E29" s="289"/>
      <c r="J29" s="324"/>
      <c r="K29" s="324"/>
      <c r="L29" s="324"/>
      <c r="M29" s="330" t="s">
        <v>167</v>
      </c>
      <c r="N29" s="324"/>
      <c r="O29" s="324"/>
    </row>
    <row r="30" spans="1:16" ht="15.6" x14ac:dyDescent="0.3">
      <c r="A30" s="310"/>
      <c r="B30" s="308"/>
      <c r="C30" s="306"/>
      <c r="D30" s="306"/>
      <c r="E30" s="289"/>
      <c r="J30" s="324"/>
      <c r="K30" s="324"/>
      <c r="L30" s="324"/>
      <c r="M30" s="331">
        <f t="shared" ref="M30:M35" si="0">+C15/250+IF(C15=0,1)</f>
        <v>1</v>
      </c>
      <c r="N30" s="324"/>
      <c r="O30" s="324"/>
    </row>
    <row r="31" spans="1:16" ht="15.6" x14ac:dyDescent="0.3">
      <c r="A31" s="310"/>
      <c r="B31" s="308"/>
      <c r="C31" s="306"/>
      <c r="D31" s="306"/>
      <c r="E31" s="289"/>
      <c r="J31" s="324"/>
      <c r="K31" s="324"/>
      <c r="L31" s="324"/>
      <c r="M31" s="331">
        <f t="shared" si="0"/>
        <v>1</v>
      </c>
      <c r="N31" s="324"/>
      <c r="O31" s="324"/>
    </row>
    <row r="32" spans="1:16" ht="15.6" x14ac:dyDescent="0.3">
      <c r="A32" s="309"/>
      <c r="B32" s="308"/>
      <c r="C32" s="306"/>
      <c r="D32" s="306"/>
      <c r="E32" s="289"/>
      <c r="J32" s="324"/>
      <c r="K32" s="324"/>
      <c r="L32" s="324"/>
      <c r="M32" s="331">
        <f t="shared" si="0"/>
        <v>1</v>
      </c>
      <c r="N32" s="324"/>
      <c r="O32" s="324"/>
    </row>
    <row r="33" spans="1:15" ht="15.6" x14ac:dyDescent="0.3">
      <c r="A33" s="310"/>
      <c r="B33" s="308"/>
      <c r="C33" s="306"/>
      <c r="D33" s="306"/>
      <c r="E33" s="289"/>
      <c r="J33" s="324"/>
      <c r="K33" s="324"/>
      <c r="L33" s="324"/>
      <c r="M33" s="331">
        <f t="shared" si="0"/>
        <v>1</v>
      </c>
      <c r="N33" s="324"/>
      <c r="O33" s="324"/>
    </row>
    <row r="34" spans="1:15" ht="15.6" x14ac:dyDescent="0.3">
      <c r="A34" s="310"/>
      <c r="B34" s="308"/>
      <c r="C34" s="306"/>
      <c r="D34" s="306"/>
      <c r="E34" s="289"/>
      <c r="J34" s="324"/>
      <c r="K34" s="324"/>
      <c r="L34" s="324"/>
      <c r="M34" s="331">
        <f t="shared" si="0"/>
        <v>1</v>
      </c>
      <c r="N34" s="324"/>
      <c r="O34" s="324"/>
    </row>
    <row r="35" spans="1:15" ht="15.6" x14ac:dyDescent="0.3">
      <c r="A35" s="309"/>
      <c r="B35" s="308"/>
      <c r="C35" s="306"/>
      <c r="D35" s="306"/>
      <c r="E35" s="289"/>
      <c r="J35" s="324"/>
      <c r="K35" s="324"/>
      <c r="L35" s="324"/>
      <c r="M35" s="331">
        <f t="shared" si="0"/>
        <v>1</v>
      </c>
      <c r="N35" s="324"/>
      <c r="O35" s="324"/>
    </row>
    <row r="36" spans="1:15" ht="15.6" x14ac:dyDescent="0.3">
      <c r="A36" s="310"/>
      <c r="B36" s="308"/>
      <c r="C36" s="306"/>
      <c r="D36" s="306"/>
      <c r="E36" s="289"/>
      <c r="J36" s="324"/>
      <c r="K36" s="324"/>
      <c r="L36" s="324"/>
      <c r="M36" s="331">
        <f>+C21/220+IF(C21=0,1)</f>
        <v>1</v>
      </c>
      <c r="N36" s="324"/>
      <c r="O36" s="324"/>
    </row>
    <row r="37" spans="1:15" ht="15.6" x14ac:dyDescent="0.3">
      <c r="A37" s="310"/>
      <c r="B37" s="308"/>
      <c r="C37" s="306"/>
      <c r="D37" s="306"/>
      <c r="E37" s="289"/>
      <c r="J37" s="324"/>
      <c r="K37" s="324"/>
      <c r="L37" s="324"/>
      <c r="M37" s="331">
        <f>+C22/150+IF(C22=0,1)</f>
        <v>1</v>
      </c>
      <c r="N37" s="324"/>
      <c r="O37" s="324"/>
    </row>
    <row r="38" spans="1:15" ht="15.6" x14ac:dyDescent="0.3">
      <c r="A38" s="309"/>
      <c r="B38" s="308"/>
      <c r="C38" s="306"/>
      <c r="D38" s="306"/>
      <c r="E38" s="289"/>
      <c r="J38" s="324"/>
      <c r="K38" s="324"/>
      <c r="L38" s="324"/>
      <c r="M38" s="331">
        <f>+C23/220+IF(C23=0,1)</f>
        <v>1</v>
      </c>
      <c r="N38" s="324"/>
      <c r="O38" s="324"/>
    </row>
    <row r="39" spans="1:15" ht="15.6" x14ac:dyDescent="0.3">
      <c r="A39" s="310"/>
      <c r="B39" s="308"/>
      <c r="C39" s="306"/>
      <c r="D39" s="306"/>
      <c r="E39" s="289"/>
      <c r="J39" s="324"/>
      <c r="K39" s="324"/>
      <c r="L39" s="324"/>
      <c r="M39" s="331">
        <f>+C24/400+IF(C24=0,1)</f>
        <v>1</v>
      </c>
      <c r="N39" s="324"/>
      <c r="O39" s="324"/>
    </row>
    <row r="40" spans="1:15" ht="15.6" x14ac:dyDescent="0.3">
      <c r="A40" s="310"/>
      <c r="B40" s="308"/>
      <c r="C40" s="306"/>
      <c r="D40" s="306"/>
      <c r="E40" s="289"/>
      <c r="J40" s="324"/>
      <c r="K40" s="324"/>
      <c r="L40" s="324"/>
      <c r="M40" s="331">
        <f>+C25/400+IF(C25=0,1)</f>
        <v>1</v>
      </c>
      <c r="N40" s="324"/>
      <c r="O40" s="324"/>
    </row>
    <row r="41" spans="1:15" ht="15.6" x14ac:dyDescent="0.3">
      <c r="A41" s="309"/>
      <c r="B41" s="308"/>
      <c r="C41" s="306"/>
      <c r="D41" s="306"/>
      <c r="E41" s="289"/>
      <c r="J41" s="332"/>
      <c r="K41" s="332"/>
      <c r="L41" s="332"/>
      <c r="M41" s="332"/>
      <c r="N41" s="332"/>
      <c r="O41" s="332"/>
    </row>
    <row r="42" spans="1:15" x14ac:dyDescent="0.3">
      <c r="J42" s="332"/>
      <c r="K42" s="332"/>
      <c r="L42" s="332"/>
      <c r="M42" s="332"/>
      <c r="N42" s="332"/>
      <c r="O42" s="332"/>
    </row>
    <row r="44" spans="1:15" ht="15.6" x14ac:dyDescent="0.3">
      <c r="J44" s="310"/>
      <c r="K44" s="314"/>
      <c r="L44" s="315"/>
      <c r="M44" s="315"/>
      <c r="N44" s="316"/>
    </row>
    <row r="45" spans="1:15" ht="15.6" x14ac:dyDescent="0.3">
      <c r="J45" s="310"/>
      <c r="K45" s="314"/>
      <c r="L45" s="315"/>
      <c r="M45" s="315"/>
      <c r="N45" s="316"/>
    </row>
  </sheetData>
  <sheetProtection algorithmName="SHA-512" hashValue="pCbTo5KHjnA+XG7IFnzQimwngrboH9utopkLGOX7nbhxolxFtdjbB5FOl8MwKifYSbDpHmMWX/483RBNc5Zxnw==" saltValue="OKGQ8xzVGLsW3MBphXLzYw==" spinCount="100000" sheet="1" objects="1" scenarios="1" selectLockedCells="1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1608d5a-29bd-4871-a2f6-96bef51a658f" xsi:nil="true"/>
    <lcf76f155ced4ddcb4097134ff3c332f xmlns="c197f9b3-50a5-436b-858b-9c6a1acde426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26DEC9F97744D439FF1ACAB52065593" ma:contentTypeVersion="13" ma:contentTypeDescription="Create a new document." ma:contentTypeScope="" ma:versionID="855e32753255e40e7dbf3aea54f183a6">
  <xsd:schema xmlns:xsd="http://www.w3.org/2001/XMLSchema" xmlns:xs="http://www.w3.org/2001/XMLSchema" xmlns:p="http://schemas.microsoft.com/office/2006/metadata/properties" xmlns:ns2="c197f9b3-50a5-436b-858b-9c6a1acde426" xmlns:ns3="91608d5a-29bd-4871-a2f6-96bef51a658f" targetNamespace="http://schemas.microsoft.com/office/2006/metadata/properties" ma:root="true" ma:fieldsID="8c2cb5e4b7571dcaa1138ef9e2f5b23f" ns2:_="" ns3:_="">
    <xsd:import namespace="c197f9b3-50a5-436b-858b-9c6a1acde426"/>
    <xsd:import namespace="91608d5a-29bd-4871-a2f6-96bef51a658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197f9b3-50a5-436b-858b-9c6a1acde4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be61b0f2-db17-41d3-8567-230af5403ca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1608d5a-29bd-4871-a2f6-96bef51a658f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bcac3776-a104-4a73-a72e-351a91ef81e8}" ma:internalName="TaxCatchAll" ma:showField="CatchAllData" ma:web="91608d5a-29bd-4871-a2f6-96bef51a658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��
</file>

<file path=customXml/itemProps1.xml><?xml version="1.0" encoding="utf-8"?>
<ds:datastoreItem xmlns:ds="http://schemas.openxmlformats.org/officeDocument/2006/customXml" ds:itemID="{BA3574D1-0E39-46F3-B144-49DB8EB3B7E4}">
  <ds:schemaRefs>
    <ds:schemaRef ds:uri="http://purl.org/dc/terms/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91608d5a-29bd-4871-a2f6-96bef51a658f"/>
    <ds:schemaRef ds:uri="c197f9b3-50a5-436b-858b-9c6a1acde426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660F26BA-EEFE-4F85-8E62-47F567560D9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E9EEE60-B4B0-4562-B98E-8CC971D6F49D}">
  <ds:schemaRefs>
    <ds:schemaRef ds:uri="http://schemas.microsoft.com/office/2006/metadata/contentType"/>
    <ds:schemaRef ds:uri="http://schemas.microsoft.com/office/2006/metadata/properties/metaAttributes"/>
    <ds:schemaRef ds:uri="http://www.w3.org/2000/xmlns/"/>
    <ds:schemaRef ds:uri="http://www.w3.org/2001/XMLSchema"/>
    <ds:schemaRef ds:uri="c197f9b3-50a5-436b-858b-9c6a1acde426"/>
    <ds:schemaRef ds:uri="91608d5a-29bd-4871-a2f6-96bef51a658f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90C34F37-9D0F-403F-9CFA-A87B61A8E154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20</vt:i4>
      </vt:variant>
      <vt:variant>
        <vt:lpstr>Named Ranges</vt:lpstr>
      </vt:variant>
      <vt:variant>
        <vt:i4>17</vt:i4>
      </vt:variant>
    </vt:vector>
  </HeadingPairs>
  <TitlesOfParts>
    <vt:vector size="37" baseType="lpstr">
      <vt:lpstr>Cover</vt:lpstr>
      <vt:lpstr>Qual, Excl &amp; Assum</vt:lpstr>
      <vt:lpstr>Documents</vt:lpstr>
      <vt:lpstr>Summary</vt:lpstr>
      <vt:lpstr>Demolition</vt:lpstr>
      <vt:lpstr>Substructure</vt:lpstr>
      <vt:lpstr>Superstructure</vt:lpstr>
      <vt:lpstr>Structural Steelwork</vt:lpstr>
      <vt:lpstr>Roof</vt:lpstr>
      <vt:lpstr>Windows, Doors &amp; Rooflights</vt:lpstr>
      <vt:lpstr>Partitions</vt:lpstr>
      <vt:lpstr>Joinery</vt:lpstr>
      <vt:lpstr>Decoration</vt:lpstr>
      <vt:lpstr>Floor finishes</vt:lpstr>
      <vt:lpstr>Wall finishes</vt:lpstr>
      <vt:lpstr>Kitchens &amp; Bathrooms</vt:lpstr>
      <vt:lpstr>Electrical</vt:lpstr>
      <vt:lpstr>Mechanical</vt:lpstr>
      <vt:lpstr>Preliminaries</vt:lpstr>
      <vt:lpstr>Details</vt:lpstr>
      <vt:lpstr>Cover!Print_Area</vt:lpstr>
      <vt:lpstr>Decoration!Print_Area</vt:lpstr>
      <vt:lpstr>Demolition!Print_Area</vt:lpstr>
      <vt:lpstr>Electrical!Print_Area</vt:lpstr>
      <vt:lpstr>'Floor finishes'!Print_Area</vt:lpstr>
      <vt:lpstr>Joinery!Print_Area</vt:lpstr>
      <vt:lpstr>'Kitchens &amp; Bathrooms'!Print_Area</vt:lpstr>
      <vt:lpstr>Mechanical!Print_Area</vt:lpstr>
      <vt:lpstr>Partitions!Print_Area</vt:lpstr>
      <vt:lpstr>Preliminaries!Print_Area</vt:lpstr>
      <vt:lpstr>Roof!Print_Area</vt:lpstr>
      <vt:lpstr>'Structural Steelwork'!Print_Area</vt:lpstr>
      <vt:lpstr>Substructure!Print_Area</vt:lpstr>
      <vt:lpstr>Summary!Print_Area</vt:lpstr>
      <vt:lpstr>Superstructure!Print_Area</vt:lpstr>
      <vt:lpstr>'Wall finishes'!Print_Area</vt:lpstr>
      <vt:lpstr>'Windows, Doors &amp; Rooflights'!Print_Area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Sahana Hashim</dc:creator>
  <cp:lastModifiedBy>sameer</cp:lastModifiedBy>
  <cp:lastPrinted>2025-07-27T18:26:52Z</cp:lastPrinted>
  <dcterms:created xsi:type="dcterms:W3CDTF">2009-09-18T08:39:19Z</dcterms:created>
  <dcterms:modified xsi:type="dcterms:W3CDTF">2025-10-10T14:22:24Z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0x010100926DEC9F97744D439FF1ACAB52065593</vt:lpwstr>
  </property>
  <property fmtid="{D5CDD505-2E9C-101B-9397-08002B2CF9AE}" pid="3" name="MediaServiceImageTags">
    <vt:lpwstr/>
  </property>
  <property fmtid="{D5CDD505-2E9C-101B-9397-08002B2CF9AE}" pid="4" name="PlanSwiftJobName">
    <vt:lpwstr/>
  </property>
  <property fmtid="{D5CDD505-2E9C-101B-9397-08002B2CF9AE}" pid="5" name="PlanSwiftJobGuid">
    <vt:lpwstr/>
  </property>
  <property fmtid="{D5CDD505-2E9C-101B-9397-08002B2CF9AE}" pid="6" name="LinkedDataId">
    <vt:lpwstr>{90C34F37-9D0F-403F-9CFA-A87B61A8E154}</vt:lpwstr>
  </property>
</Properties>
</file>