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MET\Desktop\"/>
    </mc:Choice>
  </mc:AlternateContent>
  <xr:revisionPtr revIDLastSave="0" documentId="8_{3CAFEEF6-9EDD-4FEF-871B-EB4D4543B598}" xr6:coauthVersionLast="36" xr6:coauthVersionMax="36" xr10:uidLastSave="{00000000-0000-0000-0000-000000000000}"/>
  <bookViews>
    <workbookView xWindow="0" yWindow="0" windowWidth="23040" windowHeight="9830" tabRatio="868" activeTab="3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Structural Steelwork" sheetId="107" r:id="rId5"/>
    <sheet name="Windows, Doors &amp; Rooflights" sheetId="110" r:id="rId6"/>
    <sheet name="Partitions" sheetId="77" r:id="rId7"/>
    <sheet name="Joinery" sheetId="90" r:id="rId8"/>
    <sheet name="Decoration" sheetId="91" r:id="rId9"/>
    <sheet name="Floor finishes" sheetId="92" r:id="rId10"/>
    <sheet name="Wall finishes" sheetId="106" r:id="rId11"/>
    <sheet name="Kitchens &amp; Bathrooms" sheetId="82" r:id="rId12"/>
    <sheet name="Electrical" sheetId="93" r:id="rId13"/>
    <sheet name="Mechanical" sheetId="78" r:id="rId14"/>
    <sheet name="Material Takeoff Sheet" sheetId="112" r:id="rId15"/>
    <sheet name="Details" sheetId="111" r:id="rId16"/>
  </sheets>
  <definedNames>
    <definedName name="_xlnm.Print_Area" localSheetId="0">Cover!$A$1:$L$65</definedName>
    <definedName name="_xlnm.Print_Area" localSheetId="8">Decoration!$A$1:$F$16</definedName>
    <definedName name="_xlnm.Print_Area" localSheetId="12">Electrical!$A$1:$F$15</definedName>
    <definedName name="_xlnm.Print_Area" localSheetId="9">'Floor finishes'!$A$1:$F$19</definedName>
    <definedName name="_xlnm.Print_Area" localSheetId="7">Joinery!$A$1:$F$46</definedName>
    <definedName name="_xlnm.Print_Area" localSheetId="11">'Kitchens &amp; Bathrooms'!$A$1:$F$44</definedName>
    <definedName name="_xlnm.Print_Area" localSheetId="13">Mechanical!$A$1:$F$16</definedName>
    <definedName name="_xlnm.Print_Area" localSheetId="6">Partitions!$A$1:$F$155</definedName>
    <definedName name="_xlnm.Print_Area" localSheetId="4">'Structural Steelwork'!$A$1:$F$17</definedName>
    <definedName name="_xlnm.Print_Area" localSheetId="3">Summary!$A$1:$D$33</definedName>
    <definedName name="_xlnm.Print_Area" localSheetId="10">'Wall finishes'!$A$1:$F$23</definedName>
    <definedName name="_xlnm.Print_Area" localSheetId="5">'Windows, Doors &amp; Rooflights'!$A$1:$H$30</definedName>
  </definedNames>
  <calcPr calcId="191029"/>
</workbook>
</file>

<file path=xl/calcChain.xml><?xml version="1.0" encoding="utf-8"?>
<calcChain xmlns="http://schemas.openxmlformats.org/spreadsheetml/2006/main">
  <c r="A79" i="112" l="1"/>
  <c r="A78" i="112"/>
  <c r="A74" i="112"/>
  <c r="A75" i="112" s="1"/>
  <c r="A73" i="112"/>
  <c r="A65" i="112"/>
  <c r="A61" i="112"/>
  <c r="A60" i="112"/>
  <c r="A62" i="112" s="1"/>
  <c r="A59" i="112"/>
  <c r="A50" i="112"/>
  <c r="A45" i="112"/>
  <c r="A46" i="112" s="1"/>
  <c r="A42" i="112"/>
  <c r="A41" i="112"/>
  <c r="A34" i="112"/>
  <c r="A12" i="112"/>
  <c r="A13" i="112"/>
  <c r="A11" i="112"/>
  <c r="C42" i="112"/>
  <c r="C41" i="112"/>
  <c r="C38" i="112"/>
  <c r="C37" i="112"/>
  <c r="C36" i="112"/>
  <c r="C35" i="112"/>
  <c r="C34" i="112"/>
  <c r="C31" i="112"/>
  <c r="C30" i="112"/>
  <c r="C29" i="112"/>
  <c r="C28" i="112"/>
  <c r="C27" i="112"/>
  <c r="C26" i="112"/>
  <c r="C25" i="112"/>
  <c r="C24" i="112"/>
  <c r="C23" i="112"/>
  <c r="C22" i="112"/>
  <c r="C21" i="112"/>
  <c r="C20" i="112"/>
  <c r="C19" i="112"/>
  <c r="C18" i="112"/>
  <c r="C16" i="112"/>
  <c r="C15" i="112"/>
  <c r="C14" i="112"/>
  <c r="C13" i="112"/>
  <c r="C12" i="112"/>
  <c r="C11" i="112"/>
  <c r="C10" i="112"/>
  <c r="B3" i="112"/>
  <c r="B2" i="112"/>
  <c r="F15" i="78"/>
  <c r="K14" i="93"/>
  <c r="F14" i="93"/>
  <c r="N43" i="82"/>
  <c r="M43" i="82"/>
  <c r="L43" i="82"/>
  <c r="K43" i="82"/>
  <c r="F43" i="82"/>
  <c r="A15" i="82"/>
  <c r="A16" i="82"/>
  <c r="A17" i="82"/>
  <c r="A18" i="82"/>
  <c r="A20" i="82"/>
  <c r="A22" i="82"/>
  <c r="A24" i="82"/>
  <c r="A26" i="82"/>
  <c r="A28" i="82"/>
  <c r="A30" i="82"/>
  <c r="A32" i="82"/>
  <c r="A33" i="82"/>
  <c r="A35" i="82"/>
  <c r="A37" i="82"/>
  <c r="A39" i="82"/>
  <c r="A15" i="106"/>
  <c r="A15" i="92"/>
  <c r="N15" i="91"/>
  <c r="M15" i="91"/>
  <c r="L15" i="91"/>
  <c r="K15" i="91"/>
  <c r="F15" i="91"/>
  <c r="N45" i="90"/>
  <c r="M45" i="90"/>
  <c r="L45" i="90"/>
  <c r="K45" i="90"/>
  <c r="F45" i="90"/>
  <c r="R4" i="110"/>
  <c r="B3" i="110"/>
  <c r="B2" i="110"/>
  <c r="P16" i="107"/>
  <c r="N16" i="107"/>
  <c r="M16" i="107"/>
  <c r="L16" i="107"/>
  <c r="F16" i="107"/>
  <c r="K16" i="107"/>
  <c r="B3" i="95"/>
  <c r="A41" i="77"/>
  <c r="A42" i="77"/>
  <c r="A43" i="77"/>
  <c r="A45" i="77"/>
  <c r="A47" i="77"/>
  <c r="A49" i="77"/>
  <c r="A51" i="77"/>
  <c r="A53" i="77"/>
  <c r="A55" i="77"/>
  <c r="A56" i="77"/>
  <c r="A57" i="77"/>
  <c r="A59" i="77"/>
  <c r="A61" i="77"/>
  <c r="A63" i="77"/>
  <c r="A65" i="77"/>
  <c r="A67" i="77"/>
  <c r="A68" i="77"/>
  <c r="A69" i="77"/>
  <c r="A71" i="77"/>
  <c r="A73" i="77"/>
  <c r="A75" i="77"/>
  <c r="A77" i="77"/>
  <c r="A78" i="77"/>
  <c r="A79" i="77"/>
  <c r="A81" i="77"/>
  <c r="A83" i="77"/>
  <c r="A85" i="77"/>
  <c r="A87" i="77"/>
  <c r="A88" i="77"/>
  <c r="A89" i="77"/>
  <c r="A91" i="77"/>
  <c r="A93" i="77"/>
  <c r="A95" i="77"/>
  <c r="A96" i="77"/>
  <c r="A97" i="77"/>
  <c r="A99" i="77"/>
  <c r="A101" i="77"/>
  <c r="A103" i="77"/>
  <c r="A104" i="77"/>
  <c r="A105" i="77"/>
  <c r="A107" i="77"/>
  <c r="A109" i="77"/>
  <c r="A111" i="77"/>
  <c r="A112" i="77"/>
  <c r="A113" i="77"/>
  <c r="A115" i="77"/>
  <c r="A117" i="77"/>
  <c r="A119" i="77"/>
  <c r="A120" i="77"/>
  <c r="A121" i="77"/>
  <c r="A123" i="77"/>
  <c r="A125" i="77"/>
  <c r="A127" i="77"/>
  <c r="A129" i="77"/>
  <c r="A130" i="77"/>
  <c r="A131" i="77"/>
  <c r="A133" i="77"/>
  <c r="A135" i="77"/>
  <c r="A137" i="77"/>
  <c r="A139" i="77"/>
  <c r="A140" i="77"/>
  <c r="A141" i="77"/>
  <c r="A142" i="77"/>
  <c r="A144" i="77"/>
  <c r="A145" i="77"/>
  <c r="A146" i="77"/>
  <c r="A148" i="77"/>
  <c r="A149" i="77"/>
  <c r="A150" i="77"/>
  <c r="J138" i="77"/>
  <c r="I138" i="77"/>
  <c r="E138" i="77"/>
  <c r="M136" i="77"/>
  <c r="J136" i="77"/>
  <c r="N136" i="77" s="1"/>
  <c r="I136" i="77"/>
  <c r="J134" i="77"/>
  <c r="I134" i="77"/>
  <c r="E134" i="77" s="1"/>
  <c r="J132" i="77"/>
  <c r="E132" i="77" s="1"/>
  <c r="F132" i="77" s="1"/>
  <c r="I132" i="77"/>
  <c r="C138" i="77"/>
  <c r="L138" i="77" s="1"/>
  <c r="C136" i="77"/>
  <c r="L136" i="77" s="1"/>
  <c r="C134" i="77"/>
  <c r="N134" i="77" s="1"/>
  <c r="C132" i="77"/>
  <c r="L132" i="77" s="1"/>
  <c r="J128" i="77"/>
  <c r="N128" i="77" s="1"/>
  <c r="I128" i="77"/>
  <c r="M128" i="77" s="1"/>
  <c r="J126" i="77"/>
  <c r="I126" i="77"/>
  <c r="J124" i="77"/>
  <c r="I124" i="77"/>
  <c r="L122" i="77"/>
  <c r="J122" i="77"/>
  <c r="I122" i="77"/>
  <c r="C128" i="77"/>
  <c r="L128" i="77" s="1"/>
  <c r="C126" i="77"/>
  <c r="K126" i="77" s="1"/>
  <c r="C124" i="77"/>
  <c r="L124" i="77" s="1"/>
  <c r="C122" i="77"/>
  <c r="K122" i="77" s="1"/>
  <c r="J118" i="77"/>
  <c r="I118" i="77"/>
  <c r="J116" i="77"/>
  <c r="N116" i="77" s="1"/>
  <c r="I116" i="77"/>
  <c r="J114" i="77"/>
  <c r="I114" i="77"/>
  <c r="C118" i="77"/>
  <c r="K118" i="77" s="1"/>
  <c r="C116" i="77"/>
  <c r="L116" i="77" s="1"/>
  <c r="C114" i="77"/>
  <c r="K114" i="77" s="1"/>
  <c r="J110" i="77"/>
  <c r="N110" i="77" s="1"/>
  <c r="I110" i="77"/>
  <c r="J108" i="77"/>
  <c r="I108" i="77"/>
  <c r="J106" i="77"/>
  <c r="I106" i="77"/>
  <c r="C110" i="77"/>
  <c r="L110" i="77" s="1"/>
  <c r="C108" i="77"/>
  <c r="L108" i="77" s="1"/>
  <c r="C106" i="77"/>
  <c r="L106" i="77" s="1"/>
  <c r="J102" i="77"/>
  <c r="I102" i="77"/>
  <c r="J100" i="77"/>
  <c r="I100" i="77"/>
  <c r="J98" i="77"/>
  <c r="I98" i="77"/>
  <c r="M98" i="77" s="1"/>
  <c r="C102" i="77"/>
  <c r="K102" i="77" s="1"/>
  <c r="C100" i="77"/>
  <c r="K100" i="77" s="1"/>
  <c r="C98" i="77"/>
  <c r="K98" i="77" s="1"/>
  <c r="J94" i="77"/>
  <c r="I94" i="77"/>
  <c r="J92" i="77"/>
  <c r="I92" i="77"/>
  <c r="J90" i="77"/>
  <c r="I90" i="77"/>
  <c r="C94" i="77"/>
  <c r="L94" i="77" s="1"/>
  <c r="C92" i="77"/>
  <c r="L92" i="77" s="1"/>
  <c r="C90" i="77"/>
  <c r="L90" i="77" s="1"/>
  <c r="J86" i="77"/>
  <c r="I86" i="77"/>
  <c r="J84" i="77"/>
  <c r="I84" i="77"/>
  <c r="J82" i="77"/>
  <c r="I82" i="77"/>
  <c r="J80" i="77"/>
  <c r="I80" i="77"/>
  <c r="C86" i="77"/>
  <c r="L86" i="77" s="1"/>
  <c r="C84" i="77"/>
  <c r="L84" i="77" s="1"/>
  <c r="C82" i="77"/>
  <c r="L82" i="77" s="1"/>
  <c r="C80" i="77"/>
  <c r="L80" i="77" s="1"/>
  <c r="J76" i="77"/>
  <c r="I76" i="77"/>
  <c r="J74" i="77"/>
  <c r="I74" i="77"/>
  <c r="J72" i="77"/>
  <c r="I72" i="77"/>
  <c r="M72" i="77" s="1"/>
  <c r="J70" i="77"/>
  <c r="N70" i="77" s="1"/>
  <c r="I70" i="77"/>
  <c r="C76" i="77"/>
  <c r="L76" i="77" s="1"/>
  <c r="C72" i="77"/>
  <c r="L72" i="77" s="1"/>
  <c r="C70" i="77"/>
  <c r="L70" i="77" s="1"/>
  <c r="J66" i="77"/>
  <c r="I66" i="77"/>
  <c r="J64" i="77"/>
  <c r="I64" i="77"/>
  <c r="J62" i="77"/>
  <c r="I62" i="77"/>
  <c r="J60" i="77"/>
  <c r="I60" i="77"/>
  <c r="J58" i="77"/>
  <c r="I58" i="77"/>
  <c r="C66" i="77"/>
  <c r="L66" i="77" s="1"/>
  <c r="C62" i="77"/>
  <c r="L62" i="77" s="1"/>
  <c r="C60" i="77"/>
  <c r="L60" i="77" s="1"/>
  <c r="C58" i="77"/>
  <c r="L58" i="77" s="1"/>
  <c r="L46" i="77"/>
  <c r="K46" i="77"/>
  <c r="J46" i="77"/>
  <c r="N46" i="77" s="1"/>
  <c r="I46" i="77"/>
  <c r="J54" i="77"/>
  <c r="I54" i="77"/>
  <c r="J52" i="77"/>
  <c r="I52" i="77"/>
  <c r="J50" i="77"/>
  <c r="I50" i="77"/>
  <c r="J48" i="77"/>
  <c r="I48" i="77"/>
  <c r="J44" i="77"/>
  <c r="I44" i="77"/>
  <c r="C50" i="77"/>
  <c r="L50" i="77" s="1"/>
  <c r="C44" i="77"/>
  <c r="K44" i="77" s="1"/>
  <c r="J40" i="77"/>
  <c r="I40" i="77"/>
  <c r="J38" i="77"/>
  <c r="I38" i="77"/>
  <c r="J36" i="77"/>
  <c r="I36" i="77"/>
  <c r="J34" i="77"/>
  <c r="I34" i="77"/>
  <c r="A35" i="77"/>
  <c r="A37" i="77"/>
  <c r="A39" i="77"/>
  <c r="C34" i="77"/>
  <c r="C36" i="77" s="1"/>
  <c r="C23" i="77"/>
  <c r="C25" i="77" s="1"/>
  <c r="C27" i="77" s="1"/>
  <c r="C29" i="77" s="1"/>
  <c r="J19" i="77"/>
  <c r="I19" i="77"/>
  <c r="A18" i="77"/>
  <c r="A20" i="77"/>
  <c r="A21" i="77"/>
  <c r="A22" i="77"/>
  <c r="C17" i="77"/>
  <c r="C19" i="77" s="1"/>
  <c r="C13" i="77"/>
  <c r="M31" i="82"/>
  <c r="L31" i="82"/>
  <c r="K31" i="82"/>
  <c r="J31" i="82"/>
  <c r="I31" i="82"/>
  <c r="L29" i="82"/>
  <c r="K29" i="82"/>
  <c r="J29" i="82"/>
  <c r="N29" i="82" s="1"/>
  <c r="I29" i="82"/>
  <c r="M29" i="82" s="1"/>
  <c r="L27" i="82"/>
  <c r="K27" i="82"/>
  <c r="J27" i="82"/>
  <c r="N27" i="82" s="1"/>
  <c r="I27" i="82"/>
  <c r="M27" i="82" s="1"/>
  <c r="E27" i="82"/>
  <c r="F27" i="82" s="1"/>
  <c r="L25" i="82"/>
  <c r="K25" i="82"/>
  <c r="J25" i="82"/>
  <c r="E25" i="82" s="1"/>
  <c r="F25" i="82" s="1"/>
  <c r="I25" i="82"/>
  <c r="M25" i="82" s="1"/>
  <c r="L23" i="82"/>
  <c r="K23" i="82"/>
  <c r="J23" i="82"/>
  <c r="I23" i="82"/>
  <c r="M23" i="82" s="1"/>
  <c r="L21" i="82"/>
  <c r="K21" i="82"/>
  <c r="J21" i="82"/>
  <c r="N21" i="82" s="1"/>
  <c r="I21" i="82"/>
  <c r="M21" i="82" s="1"/>
  <c r="L19" i="82"/>
  <c r="K19" i="82"/>
  <c r="J19" i="82"/>
  <c r="N19" i="82" s="1"/>
  <c r="I19" i="82"/>
  <c r="M19" i="82" s="1"/>
  <c r="A41" i="82"/>
  <c r="A13" i="82"/>
  <c r="L14" i="82"/>
  <c r="K14" i="82"/>
  <c r="J14" i="82"/>
  <c r="N14" i="82" s="1"/>
  <c r="I14" i="82"/>
  <c r="M14" i="82" s="1"/>
  <c r="L12" i="82"/>
  <c r="K12" i="82"/>
  <c r="J12" i="82"/>
  <c r="N12" i="82" s="1"/>
  <c r="I12" i="82"/>
  <c r="M12" i="82" s="1"/>
  <c r="L15" i="106"/>
  <c r="K15" i="106"/>
  <c r="J15" i="106"/>
  <c r="N15" i="106" s="1"/>
  <c r="I15" i="106"/>
  <c r="M15" i="106" s="1"/>
  <c r="C15" i="106"/>
  <c r="C11" i="106"/>
  <c r="N11" i="92"/>
  <c r="L11" i="92"/>
  <c r="K11" i="92"/>
  <c r="J11" i="92"/>
  <c r="E11" i="92" s="1"/>
  <c r="F11" i="92" s="1"/>
  <c r="I11" i="92"/>
  <c r="M11" i="92" s="1"/>
  <c r="L29" i="90"/>
  <c r="K29" i="90"/>
  <c r="J29" i="90"/>
  <c r="N29" i="90" s="1"/>
  <c r="I29" i="90"/>
  <c r="M29" i="90" s="1"/>
  <c r="C13" i="107"/>
  <c r="C11" i="107"/>
  <c r="A66" i="112" l="1"/>
  <c r="A51" i="112"/>
  <c r="A47" i="112"/>
  <c r="A35" i="112"/>
  <c r="A15" i="112"/>
  <c r="A16" i="112"/>
  <c r="A14" i="112"/>
  <c r="N25" i="82"/>
  <c r="E23" i="82"/>
  <c r="F23" i="82" s="1"/>
  <c r="L114" i="77"/>
  <c r="L102" i="77"/>
  <c r="M116" i="77"/>
  <c r="L126" i="77"/>
  <c r="M132" i="77"/>
  <c r="L98" i="77"/>
  <c r="N118" i="77"/>
  <c r="M138" i="77"/>
  <c r="M58" i="77"/>
  <c r="N86" i="77"/>
  <c r="L118" i="77"/>
  <c r="M124" i="77"/>
  <c r="K134" i="77"/>
  <c r="N138" i="77"/>
  <c r="N58" i="77"/>
  <c r="M80" i="77"/>
  <c r="L134" i="77"/>
  <c r="N80" i="77"/>
  <c r="M134" i="77"/>
  <c r="M66" i="77"/>
  <c r="N66" i="77"/>
  <c r="N124" i="77"/>
  <c r="F138" i="77"/>
  <c r="K116" i="77"/>
  <c r="K124" i="77"/>
  <c r="K128" i="77"/>
  <c r="N132" i="77"/>
  <c r="M76" i="77"/>
  <c r="K94" i="77"/>
  <c r="N100" i="77"/>
  <c r="M106" i="77"/>
  <c r="K132" i="77"/>
  <c r="K138" i="77"/>
  <c r="N76" i="77"/>
  <c r="N82" i="77"/>
  <c r="L100" i="77"/>
  <c r="M114" i="77"/>
  <c r="M122" i="77"/>
  <c r="M126" i="77"/>
  <c r="M108" i="77"/>
  <c r="N114" i="77"/>
  <c r="N122" i="77"/>
  <c r="N126" i="77"/>
  <c r="F134" i="77"/>
  <c r="K136" i="77"/>
  <c r="N84" i="77"/>
  <c r="K90" i="77"/>
  <c r="N108" i="77"/>
  <c r="E136" i="77"/>
  <c r="F136" i="77" s="1"/>
  <c r="E128" i="77"/>
  <c r="F128" i="77" s="1"/>
  <c r="E126" i="77"/>
  <c r="F126" i="77" s="1"/>
  <c r="E124" i="77"/>
  <c r="F124" i="77" s="1"/>
  <c r="E122" i="77"/>
  <c r="F122" i="77" s="1"/>
  <c r="E116" i="77"/>
  <c r="F116" i="77" s="1"/>
  <c r="E118" i="77"/>
  <c r="F118" i="77" s="1"/>
  <c r="M118" i="77"/>
  <c r="E114" i="77"/>
  <c r="F114" i="77" s="1"/>
  <c r="K70" i="77"/>
  <c r="K82" i="77"/>
  <c r="K86" i="77"/>
  <c r="M60" i="77"/>
  <c r="K66" i="77"/>
  <c r="M92" i="77"/>
  <c r="K108" i="77"/>
  <c r="N60" i="77"/>
  <c r="N72" i="77"/>
  <c r="K92" i="77"/>
  <c r="C64" i="77"/>
  <c r="L64" i="77" s="1"/>
  <c r="C74" i="77"/>
  <c r="N74" i="77" s="1"/>
  <c r="K72" i="77"/>
  <c r="K76" i="77"/>
  <c r="K80" i="77"/>
  <c r="K84" i="77"/>
  <c r="M102" i="77"/>
  <c r="N106" i="77"/>
  <c r="M64" i="77"/>
  <c r="M90" i="77"/>
  <c r="N102" i="77"/>
  <c r="K106" i="77"/>
  <c r="K110" i="77"/>
  <c r="M70" i="77"/>
  <c r="M86" i="77"/>
  <c r="N90" i="77"/>
  <c r="N94" i="77"/>
  <c r="E98" i="77"/>
  <c r="F98" i="77" s="1"/>
  <c r="N98" i="77"/>
  <c r="E110" i="77"/>
  <c r="F110" i="77" s="1"/>
  <c r="E84" i="77"/>
  <c r="F84" i="77" s="1"/>
  <c r="E100" i="77"/>
  <c r="F100" i="77" s="1"/>
  <c r="E94" i="77"/>
  <c r="F94" i="77" s="1"/>
  <c r="M100" i="77"/>
  <c r="E108" i="77"/>
  <c r="F108" i="77" s="1"/>
  <c r="M110" i="77"/>
  <c r="E102" i="77"/>
  <c r="F102" i="77" s="1"/>
  <c r="E106" i="77"/>
  <c r="F106" i="77" s="1"/>
  <c r="M94" i="77"/>
  <c r="E86" i="77"/>
  <c r="F86" i="77" s="1"/>
  <c r="E80" i="77"/>
  <c r="F80" i="77" s="1"/>
  <c r="E92" i="77"/>
  <c r="F92" i="77" s="1"/>
  <c r="E90" i="77"/>
  <c r="F90" i="77" s="1"/>
  <c r="E82" i="77"/>
  <c r="F82" i="77" s="1"/>
  <c r="N92" i="77"/>
  <c r="M84" i="77"/>
  <c r="M82" i="77"/>
  <c r="E72" i="77"/>
  <c r="F72" i="77" s="1"/>
  <c r="E70" i="77"/>
  <c r="F70" i="77" s="1"/>
  <c r="E76" i="77"/>
  <c r="F76" i="77" s="1"/>
  <c r="E74" i="77"/>
  <c r="K34" i="77"/>
  <c r="K60" i="77"/>
  <c r="K64" i="77"/>
  <c r="L34" i="77"/>
  <c r="C54" i="77"/>
  <c r="L54" i="77" s="1"/>
  <c r="K50" i="77"/>
  <c r="M62" i="77"/>
  <c r="N62" i="77"/>
  <c r="K58" i="77"/>
  <c r="K62" i="77"/>
  <c r="L44" i="77"/>
  <c r="E64" i="77"/>
  <c r="E62" i="77"/>
  <c r="F62" i="77" s="1"/>
  <c r="E58" i="77"/>
  <c r="F58" i="77" s="1"/>
  <c r="E66" i="77"/>
  <c r="F66" i="77" s="1"/>
  <c r="E60" i="77"/>
  <c r="F60" i="77" s="1"/>
  <c r="E46" i="77"/>
  <c r="F46" i="77" s="1"/>
  <c r="E50" i="77"/>
  <c r="F50" i="77" s="1"/>
  <c r="M46" i="77"/>
  <c r="K36" i="77"/>
  <c r="C38" i="77"/>
  <c r="L36" i="77"/>
  <c r="M36" i="77"/>
  <c r="E48" i="77"/>
  <c r="N50" i="77"/>
  <c r="E36" i="77"/>
  <c r="F36" i="77" s="1"/>
  <c r="M44" i="77"/>
  <c r="E44" i="77"/>
  <c r="F44" i="77" s="1"/>
  <c r="C48" i="77"/>
  <c r="M48" i="77" s="1"/>
  <c r="M34" i="77"/>
  <c r="N36" i="77"/>
  <c r="M50" i="77"/>
  <c r="E54" i="77"/>
  <c r="F54" i="77" s="1"/>
  <c r="E52" i="77"/>
  <c r="N44" i="77"/>
  <c r="E34" i="77"/>
  <c r="F34" i="77" s="1"/>
  <c r="E38" i="77"/>
  <c r="N34" i="77"/>
  <c r="E40" i="77"/>
  <c r="E19" i="77"/>
  <c r="F19" i="77" s="1"/>
  <c r="L19" i="77"/>
  <c r="K19" i="77"/>
  <c r="M19" i="77"/>
  <c r="N19" i="77"/>
  <c r="E31" i="82"/>
  <c r="F31" i="82" s="1"/>
  <c r="N31" i="82"/>
  <c r="E29" i="82"/>
  <c r="F29" i="82" s="1"/>
  <c r="N23" i="82"/>
  <c r="E21" i="82"/>
  <c r="F21" i="82" s="1"/>
  <c r="E19" i="82"/>
  <c r="F19" i="82" s="1"/>
  <c r="E12" i="82"/>
  <c r="F12" i="82" s="1"/>
  <c r="E14" i="82"/>
  <c r="F14" i="82" s="1"/>
  <c r="E15" i="106"/>
  <c r="F15" i="106" s="1"/>
  <c r="E29" i="90"/>
  <c r="F29" i="90" s="1"/>
  <c r="A67" i="112" l="1"/>
  <c r="A68" i="112" s="1"/>
  <c r="A52" i="112"/>
  <c r="A53" i="112" s="1"/>
  <c r="A37" i="112"/>
  <c r="A36" i="112"/>
  <c r="A38" i="112" s="1"/>
  <c r="A17" i="112"/>
  <c r="A18" i="112"/>
  <c r="A19" i="112" s="1"/>
  <c r="F74" i="77"/>
  <c r="N64" i="77"/>
  <c r="M54" i="77"/>
  <c r="K54" i="77"/>
  <c r="N54" i="77"/>
  <c r="L74" i="77"/>
  <c r="K74" i="77"/>
  <c r="F64" i="77"/>
  <c r="M74" i="77"/>
  <c r="C40" i="77"/>
  <c r="F40" i="77" s="1"/>
  <c r="K38" i="77"/>
  <c r="L38" i="77"/>
  <c r="F38" i="77"/>
  <c r="L48" i="77"/>
  <c r="K48" i="77"/>
  <c r="C52" i="77"/>
  <c r="M38" i="77"/>
  <c r="F52" i="77"/>
  <c r="N48" i="77"/>
  <c r="F48" i="77"/>
  <c r="N38" i="77"/>
  <c r="A13" i="78"/>
  <c r="A14" i="78"/>
  <c r="L40" i="82"/>
  <c r="K40" i="82"/>
  <c r="J40" i="82"/>
  <c r="I40" i="82"/>
  <c r="M40" i="82" s="1"/>
  <c r="L38" i="82"/>
  <c r="K38" i="82"/>
  <c r="J38" i="82"/>
  <c r="N38" i="82" s="1"/>
  <c r="I38" i="82"/>
  <c r="M38" i="82" s="1"/>
  <c r="L36" i="82"/>
  <c r="K36" i="82"/>
  <c r="J36" i="82"/>
  <c r="N36" i="82" s="1"/>
  <c r="I36" i="82"/>
  <c r="M36" i="82" s="1"/>
  <c r="L34" i="82"/>
  <c r="K34" i="82"/>
  <c r="J34" i="82"/>
  <c r="I34" i="82"/>
  <c r="M34" i="82" s="1"/>
  <c r="L10" i="82"/>
  <c r="K10" i="82"/>
  <c r="J10" i="82"/>
  <c r="N10" i="82" s="1"/>
  <c r="I10" i="82"/>
  <c r="M10" i="82" s="1"/>
  <c r="A14" i="90"/>
  <c r="A16" i="90"/>
  <c r="A18" i="90"/>
  <c r="A20" i="90"/>
  <c r="A21" i="90"/>
  <c r="A22" i="90"/>
  <c r="A24" i="90"/>
  <c r="A25" i="90"/>
  <c r="A26" i="90"/>
  <c r="A30" i="90"/>
  <c r="A31" i="90"/>
  <c r="A32" i="90"/>
  <c r="A34" i="90"/>
  <c r="A35" i="90"/>
  <c r="A36" i="90"/>
  <c r="A38" i="90"/>
  <c r="A40" i="90"/>
  <c r="A42" i="90"/>
  <c r="A44" i="90"/>
  <c r="L43" i="90"/>
  <c r="K43" i="90"/>
  <c r="J43" i="90"/>
  <c r="N43" i="90" s="1"/>
  <c r="I43" i="90"/>
  <c r="M43" i="90" s="1"/>
  <c r="L41" i="90"/>
  <c r="K41" i="90"/>
  <c r="J41" i="90"/>
  <c r="I41" i="90"/>
  <c r="M41" i="90" s="1"/>
  <c r="L39" i="90"/>
  <c r="K39" i="90"/>
  <c r="J39" i="90"/>
  <c r="N39" i="90" s="1"/>
  <c r="I39" i="90"/>
  <c r="M39" i="90" s="1"/>
  <c r="L37" i="90"/>
  <c r="K37" i="90"/>
  <c r="J37" i="90"/>
  <c r="N37" i="90" s="1"/>
  <c r="I37" i="90"/>
  <c r="M37" i="90" s="1"/>
  <c r="L33" i="90"/>
  <c r="K33" i="90"/>
  <c r="J33" i="90"/>
  <c r="N33" i="90" s="1"/>
  <c r="I33" i="90"/>
  <c r="M33" i="90" s="1"/>
  <c r="L27" i="90"/>
  <c r="K27" i="90"/>
  <c r="J27" i="90"/>
  <c r="N27" i="90" s="1"/>
  <c r="I27" i="90"/>
  <c r="M27" i="90" s="1"/>
  <c r="L23" i="90"/>
  <c r="K23" i="90"/>
  <c r="J23" i="90"/>
  <c r="I23" i="90"/>
  <c r="M23" i="90" s="1"/>
  <c r="J19" i="90"/>
  <c r="I19" i="90"/>
  <c r="J17" i="90"/>
  <c r="I17" i="90"/>
  <c r="J15" i="90"/>
  <c r="I15" i="90"/>
  <c r="J13" i="90"/>
  <c r="I13" i="90"/>
  <c r="A16" i="77"/>
  <c r="A24" i="77"/>
  <c r="A26" i="77"/>
  <c r="A28" i="77"/>
  <c r="A30" i="77"/>
  <c r="A31" i="77"/>
  <c r="A32" i="77"/>
  <c r="A33" i="77"/>
  <c r="L151" i="77"/>
  <c r="K151" i="77"/>
  <c r="J151" i="77"/>
  <c r="N151" i="77" s="1"/>
  <c r="I151" i="77"/>
  <c r="M151" i="77" s="1"/>
  <c r="L147" i="77"/>
  <c r="K147" i="77"/>
  <c r="J147" i="77"/>
  <c r="I147" i="77"/>
  <c r="M147" i="77" s="1"/>
  <c r="L143" i="77"/>
  <c r="K143" i="77"/>
  <c r="J143" i="77"/>
  <c r="N143" i="77" s="1"/>
  <c r="I143" i="77"/>
  <c r="M143" i="77" s="1"/>
  <c r="L29" i="77"/>
  <c r="K29" i="77"/>
  <c r="J29" i="77"/>
  <c r="N29" i="77" s="1"/>
  <c r="I29" i="77"/>
  <c r="M29" i="77" s="1"/>
  <c r="L27" i="77"/>
  <c r="K27" i="77"/>
  <c r="J27" i="77"/>
  <c r="I27" i="77"/>
  <c r="M27" i="77" s="1"/>
  <c r="L25" i="77"/>
  <c r="K25" i="77"/>
  <c r="J25" i="77"/>
  <c r="N25" i="77" s="1"/>
  <c r="I25" i="77"/>
  <c r="M25" i="77" s="1"/>
  <c r="L23" i="77"/>
  <c r="K23" i="77"/>
  <c r="J23" i="77"/>
  <c r="N23" i="77" s="1"/>
  <c r="I23" i="77"/>
  <c r="M23" i="77" s="1"/>
  <c r="A18" i="110"/>
  <c r="A20" i="110"/>
  <c r="A21" i="110"/>
  <c r="A22" i="110"/>
  <c r="A24" i="110"/>
  <c r="A26" i="110"/>
  <c r="N25" i="110"/>
  <c r="M25" i="110"/>
  <c r="L25" i="110"/>
  <c r="K25" i="110"/>
  <c r="O25" i="110" s="1"/>
  <c r="N23" i="110"/>
  <c r="M23" i="110"/>
  <c r="L23" i="110"/>
  <c r="P23" i="110" s="1"/>
  <c r="K23" i="110"/>
  <c r="O23" i="110" s="1"/>
  <c r="N19" i="110"/>
  <c r="M19" i="110"/>
  <c r="L19" i="110"/>
  <c r="P19" i="110" s="1"/>
  <c r="K19" i="110"/>
  <c r="O19" i="110" s="1"/>
  <c r="A14" i="107"/>
  <c r="L13" i="107"/>
  <c r="K13" i="107"/>
  <c r="J13" i="107"/>
  <c r="N13" i="107" s="1"/>
  <c r="I13" i="107"/>
  <c r="M13" i="107" s="1"/>
  <c r="B2" i="95"/>
  <c r="A54" i="112" l="1"/>
  <c r="A55" i="112" s="1"/>
  <c r="A56" i="112" s="1"/>
  <c r="A20" i="112"/>
  <c r="L52" i="77"/>
  <c r="M52" i="77"/>
  <c r="K52" i="77"/>
  <c r="N52" i="77"/>
  <c r="L40" i="77"/>
  <c r="K40" i="77"/>
  <c r="M40" i="77"/>
  <c r="N40" i="77"/>
  <c r="E36" i="82"/>
  <c r="F36" i="82" s="1"/>
  <c r="E13" i="90"/>
  <c r="E27" i="90"/>
  <c r="F27" i="90" s="1"/>
  <c r="E43" i="90"/>
  <c r="F43" i="90" s="1"/>
  <c r="E39" i="90"/>
  <c r="F39" i="90" s="1"/>
  <c r="E37" i="90"/>
  <c r="F37" i="90" s="1"/>
  <c r="E143" i="77"/>
  <c r="F143" i="77" s="1"/>
  <c r="E29" i="77"/>
  <c r="F29" i="77" s="1"/>
  <c r="E25" i="77"/>
  <c r="F25" i="77" s="1"/>
  <c r="E23" i="77"/>
  <c r="F23" i="77" s="1"/>
  <c r="G23" i="110"/>
  <c r="H23" i="110" s="1"/>
  <c r="E13" i="107"/>
  <c r="F13" i="107" s="1"/>
  <c r="G19" i="110"/>
  <c r="H19" i="110" s="1"/>
  <c r="N23" i="90"/>
  <c r="E23" i="90"/>
  <c r="F23" i="90" s="1"/>
  <c r="E33" i="90"/>
  <c r="F33" i="90" s="1"/>
  <c r="N41" i="90"/>
  <c r="E41" i="90"/>
  <c r="F41" i="90" s="1"/>
  <c r="E10" i="82"/>
  <c r="F10" i="82" s="1"/>
  <c r="N27" i="77"/>
  <c r="E27" i="77"/>
  <c r="F27" i="77" s="1"/>
  <c r="N40" i="82"/>
  <c r="E40" i="82"/>
  <c r="F40" i="82" s="1"/>
  <c r="P25" i="110"/>
  <c r="G25" i="110"/>
  <c r="H25" i="110" s="1"/>
  <c r="N147" i="77"/>
  <c r="E147" i="77"/>
  <c r="F147" i="77" s="1"/>
  <c r="E151" i="77"/>
  <c r="F151" i="77" s="1"/>
  <c r="E15" i="90"/>
  <c r="N34" i="82"/>
  <c r="E34" i="82"/>
  <c r="F34" i="82" s="1"/>
  <c r="E38" i="82"/>
  <c r="F38" i="82" s="1"/>
  <c r="E17" i="90"/>
  <c r="E19" i="90"/>
  <c r="A21" i="112" l="1"/>
  <c r="A17" i="92"/>
  <c r="J17" i="92"/>
  <c r="J18" i="92"/>
  <c r="A19" i="92"/>
  <c r="J19" i="92"/>
  <c r="A22" i="112" l="1"/>
  <c r="A23" i="112"/>
  <c r="A24" i="112" s="1"/>
  <c r="I11" i="93"/>
  <c r="M11" i="93" s="1"/>
  <c r="K11" i="93"/>
  <c r="L11" i="93"/>
  <c r="J11" i="93"/>
  <c r="N11" i="93" s="1"/>
  <c r="K11" i="78"/>
  <c r="L11" i="78"/>
  <c r="J11" i="78"/>
  <c r="N11" i="78" s="1"/>
  <c r="N22" i="90"/>
  <c r="N21" i="90"/>
  <c r="C13" i="90"/>
  <c r="K15" i="110"/>
  <c r="O15" i="110" s="1"/>
  <c r="C15" i="90"/>
  <c r="A10" i="107"/>
  <c r="A12" i="107"/>
  <c r="Z10" i="107"/>
  <c r="AG11" i="107"/>
  <c r="Z12" i="107"/>
  <c r="S4" i="110"/>
  <c r="R5" i="110"/>
  <c r="S5" i="110"/>
  <c r="A9" i="107"/>
  <c r="Z9" i="107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AF11" i="107"/>
  <c r="AH11" i="107"/>
  <c r="D4" i="111"/>
  <c r="D6" i="111"/>
  <c r="D8" i="111"/>
  <c r="J17" i="77"/>
  <c r="J15" i="77"/>
  <c r="J13" i="77"/>
  <c r="N13" i="77" s="1"/>
  <c r="J14" i="78"/>
  <c r="J15" i="78"/>
  <c r="A16" i="78"/>
  <c r="J16" i="78"/>
  <c r="L19" i="106"/>
  <c r="J19" i="106"/>
  <c r="N19" i="106" s="1"/>
  <c r="L11" i="106"/>
  <c r="J11" i="106"/>
  <c r="N11" i="106" s="1"/>
  <c r="L15" i="92"/>
  <c r="J15" i="92"/>
  <c r="N15" i="92" s="1"/>
  <c r="J13" i="91"/>
  <c r="J11" i="91"/>
  <c r="J9" i="91"/>
  <c r="I21" i="90"/>
  <c r="J21" i="90"/>
  <c r="M21" i="90"/>
  <c r="I25" i="90"/>
  <c r="J25" i="90"/>
  <c r="M25" i="90"/>
  <c r="N25" i="90"/>
  <c r="I31" i="90"/>
  <c r="J31" i="90"/>
  <c r="M31" i="90"/>
  <c r="N31" i="90"/>
  <c r="L11" i="90"/>
  <c r="J11" i="90"/>
  <c r="N11" i="90" s="1"/>
  <c r="I32" i="77"/>
  <c r="J32" i="77"/>
  <c r="M32" i="77"/>
  <c r="N32" i="77"/>
  <c r="I141" i="77"/>
  <c r="J141" i="77"/>
  <c r="M141" i="77"/>
  <c r="N141" i="77"/>
  <c r="I145" i="77"/>
  <c r="J145" i="77"/>
  <c r="M145" i="77"/>
  <c r="N145" i="77"/>
  <c r="L13" i="77"/>
  <c r="K21" i="110"/>
  <c r="L21" i="110"/>
  <c r="O21" i="110"/>
  <c r="P21" i="110"/>
  <c r="K28" i="110"/>
  <c r="L28" i="110"/>
  <c r="I15" i="92"/>
  <c r="M15" i="92" s="1"/>
  <c r="M18" i="92" s="1"/>
  <c r="I11" i="106"/>
  <c r="I11" i="90"/>
  <c r="I13" i="91"/>
  <c r="I17" i="77"/>
  <c r="I15" i="77"/>
  <c r="I13" i="77"/>
  <c r="M13" i="77" s="1"/>
  <c r="I9" i="91"/>
  <c r="I19" i="106"/>
  <c r="M19" i="106" s="1"/>
  <c r="K19" i="106"/>
  <c r="K11" i="106"/>
  <c r="K15" i="92"/>
  <c r="K18" i="92" s="1"/>
  <c r="I11" i="91"/>
  <c r="N8" i="78"/>
  <c r="N8" i="93"/>
  <c r="N8" i="82"/>
  <c r="N8" i="106"/>
  <c r="N12" i="92"/>
  <c r="N18" i="92" s="1"/>
  <c r="N8" i="91"/>
  <c r="N8" i="90"/>
  <c r="N8" i="77"/>
  <c r="P14" i="110"/>
  <c r="P13" i="110"/>
  <c r="P9" i="110"/>
  <c r="N8" i="107"/>
  <c r="J44" i="82"/>
  <c r="J23" i="106"/>
  <c r="J46" i="90"/>
  <c r="J155" i="77"/>
  <c r="L30" i="110"/>
  <c r="J17" i="107"/>
  <c r="J15" i="93"/>
  <c r="J14" i="93"/>
  <c r="J13" i="93"/>
  <c r="J43" i="82"/>
  <c r="J42" i="82"/>
  <c r="J22" i="106"/>
  <c r="J15" i="91"/>
  <c r="J45" i="90"/>
  <c r="J154" i="77"/>
  <c r="J153" i="77"/>
  <c r="L29" i="110"/>
  <c r="J16" i="107"/>
  <c r="A29" i="110"/>
  <c r="A28" i="110"/>
  <c r="A27" i="110"/>
  <c r="A17" i="110"/>
  <c r="K17" i="110"/>
  <c r="O17" i="110" s="1"/>
  <c r="L17" i="110"/>
  <c r="P17" i="110" s="1"/>
  <c r="N17" i="110"/>
  <c r="N15" i="110"/>
  <c r="L15" i="110"/>
  <c r="P15" i="110" s="1"/>
  <c r="A11" i="95"/>
  <c r="A12" i="95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A17" i="107"/>
  <c r="A15" i="107"/>
  <c r="J8" i="107"/>
  <c r="A8" i="107"/>
  <c r="A15" i="93"/>
  <c r="A44" i="82"/>
  <c r="A42" i="82"/>
  <c r="A23" i="106"/>
  <c r="A21" i="106"/>
  <c r="A20" i="106"/>
  <c r="A18" i="106"/>
  <c r="A17" i="106"/>
  <c r="A16" i="106"/>
  <c r="A14" i="91"/>
  <c r="A12" i="91"/>
  <c r="A46" i="90"/>
  <c r="A155" i="77"/>
  <c r="A153" i="77"/>
  <c r="A152" i="77"/>
  <c r="C15" i="77"/>
  <c r="B3" i="107"/>
  <c r="B2" i="90"/>
  <c r="B3" i="90"/>
  <c r="B2" i="106"/>
  <c r="B2" i="78"/>
  <c r="B3" i="106"/>
  <c r="B3" i="77"/>
  <c r="B3" i="82"/>
  <c r="B2" i="82"/>
  <c r="B3" i="91"/>
  <c r="B2" i="93"/>
  <c r="B3" i="92"/>
  <c r="B3" i="93"/>
  <c r="B3" i="78"/>
  <c r="B2" i="77"/>
  <c r="L5" i="109" a="1"/>
  <c r="A25" i="112" l="1"/>
  <c r="A26" i="112" s="1"/>
  <c r="A27" i="112" s="1"/>
  <c r="A28" i="112" s="1"/>
  <c r="A29" i="112" s="1"/>
  <c r="I17" i="109"/>
  <c r="E9" i="91"/>
  <c r="N15" i="77"/>
  <c r="L22" i="106"/>
  <c r="G19" i="109" s="1"/>
  <c r="A19" i="110"/>
  <c r="E11" i="91"/>
  <c r="L14" i="93"/>
  <c r="G23" i="109" s="1"/>
  <c r="A13" i="107"/>
  <c r="K22" i="106"/>
  <c r="F19" i="109" s="1"/>
  <c r="E13" i="91"/>
  <c r="K13" i="90"/>
  <c r="L13" i="90"/>
  <c r="F13" i="90"/>
  <c r="A13" i="90" s="1"/>
  <c r="M13" i="90"/>
  <c r="N13" i="90"/>
  <c r="C19" i="90"/>
  <c r="K15" i="90"/>
  <c r="L15" i="90"/>
  <c r="N15" i="90"/>
  <c r="F15" i="90"/>
  <c r="M15" i="90"/>
  <c r="B2" i="107"/>
  <c r="B2" i="91"/>
  <c r="B2" i="92"/>
  <c r="N29" i="110"/>
  <c r="G9" i="109" s="1"/>
  <c r="K13" i="77"/>
  <c r="K15" i="77"/>
  <c r="E13" i="77"/>
  <c r="F13" i="77" s="1"/>
  <c r="E17" i="77"/>
  <c r="M15" i="77"/>
  <c r="E15" i="77"/>
  <c r="F15" i="77" s="1"/>
  <c r="A15" i="77" s="1"/>
  <c r="L15" i="77"/>
  <c r="C17" i="90"/>
  <c r="K11" i="90"/>
  <c r="M11" i="90"/>
  <c r="E11" i="90"/>
  <c r="F11" i="90" s="1"/>
  <c r="I11" i="78"/>
  <c r="M11" i="78" s="1"/>
  <c r="N14" i="93"/>
  <c r="I23" i="109" s="1"/>
  <c r="E11" i="93"/>
  <c r="F11" i="93" s="1"/>
  <c r="G21" i="109"/>
  <c r="I21" i="109"/>
  <c r="F21" i="109"/>
  <c r="M11" i="106"/>
  <c r="M22" i="106" s="1"/>
  <c r="H19" i="109" s="1"/>
  <c r="E11" i="106"/>
  <c r="F11" i="106" s="1"/>
  <c r="N22" i="106"/>
  <c r="I19" i="109" s="1"/>
  <c r="E19" i="106"/>
  <c r="F19" i="106" s="1"/>
  <c r="A19" i="106" s="1"/>
  <c r="H17" i="109"/>
  <c r="L18" i="92"/>
  <c r="G17" i="109" s="1"/>
  <c r="E15" i="92"/>
  <c r="F15" i="92" s="1"/>
  <c r="F18" i="92" s="1"/>
  <c r="F17" i="109"/>
  <c r="J11" i="107"/>
  <c r="AM11" i="107" s="1"/>
  <c r="AK11" i="107"/>
  <c r="L11" i="107"/>
  <c r="AI11" i="107"/>
  <c r="AJ11" i="107"/>
  <c r="I11" i="107"/>
  <c r="M11" i="107" s="1"/>
  <c r="K11" i="107"/>
  <c r="M15" i="110"/>
  <c r="G17" i="110"/>
  <c r="H17" i="110" s="1"/>
  <c r="M17" i="110"/>
  <c r="G15" i="110"/>
  <c r="H15" i="110" s="1"/>
  <c r="L5" i="109"/>
  <c r="A30" i="112" l="1"/>
  <c r="A31" i="112" s="1"/>
  <c r="K154" i="77"/>
  <c r="A15" i="90"/>
  <c r="F22" i="106"/>
  <c r="P22" i="106" s="1"/>
  <c r="A12" i="82"/>
  <c r="L17" i="90"/>
  <c r="K17" i="90"/>
  <c r="N17" i="90"/>
  <c r="M17" i="90"/>
  <c r="F17" i="90"/>
  <c r="L19" i="90"/>
  <c r="K19" i="90"/>
  <c r="M19" i="90"/>
  <c r="N19" i="90"/>
  <c r="F19" i="90"/>
  <c r="E11" i="78"/>
  <c r="F11" i="78" s="1"/>
  <c r="N11" i="107"/>
  <c r="I7" i="109" s="1"/>
  <c r="H29" i="110"/>
  <c r="K17" i="77"/>
  <c r="N17" i="77"/>
  <c r="M17" i="77"/>
  <c r="L17" i="77"/>
  <c r="L154" i="77" s="1"/>
  <c r="F17" i="77"/>
  <c r="A17" i="77" s="1"/>
  <c r="L11" i="91"/>
  <c r="M14" i="93"/>
  <c r="H23" i="109" s="1"/>
  <c r="F23" i="109"/>
  <c r="H21" i="109"/>
  <c r="P18" i="92"/>
  <c r="E11" i="107"/>
  <c r="F11" i="107" s="1"/>
  <c r="AL11" i="107"/>
  <c r="AD11" i="107"/>
  <c r="G7" i="109"/>
  <c r="C13" i="91"/>
  <c r="K13" i="91" s="1"/>
  <c r="P29" i="110"/>
  <c r="I9" i="109" s="1"/>
  <c r="A14" i="82" l="1"/>
  <c r="F154" i="77"/>
  <c r="A19" i="77"/>
  <c r="A17" i="90"/>
  <c r="A19" i="90" s="1"/>
  <c r="F13" i="109"/>
  <c r="I13" i="109"/>
  <c r="H13" i="109"/>
  <c r="D13" i="109"/>
  <c r="AE11" i="107"/>
  <c r="K11" i="91"/>
  <c r="N11" i="91"/>
  <c r="F11" i="91"/>
  <c r="A11" i="91" s="1"/>
  <c r="M11" i="91"/>
  <c r="M13" i="91"/>
  <c r="G13" i="109"/>
  <c r="L15" i="78"/>
  <c r="G25" i="109" s="1"/>
  <c r="D19" i="109"/>
  <c r="K19" i="109" s="1"/>
  <c r="D17" i="109"/>
  <c r="K17" i="109" s="1"/>
  <c r="N13" i="91"/>
  <c r="L13" i="91"/>
  <c r="F13" i="91"/>
  <c r="A19" i="82" l="1"/>
  <c r="A23" i="77"/>
  <c r="A23" i="110"/>
  <c r="A25" i="110" s="1"/>
  <c r="P45" i="90"/>
  <c r="K13" i="109"/>
  <c r="A13" i="91"/>
  <c r="N15" i="78"/>
  <c r="I25" i="109" s="1"/>
  <c r="D21" i="109"/>
  <c r="K21" i="109" s="1"/>
  <c r="P43" i="82"/>
  <c r="A21" i="82" l="1"/>
  <c r="A23" i="82" s="1"/>
  <c r="A25" i="77"/>
  <c r="F7" i="109"/>
  <c r="G11" i="109"/>
  <c r="F11" i="109"/>
  <c r="N154" i="77"/>
  <c r="I11" i="109" s="1"/>
  <c r="M154" i="77"/>
  <c r="H11" i="109" s="1"/>
  <c r="K15" i="78"/>
  <c r="F25" i="109" s="1"/>
  <c r="M15" i="78"/>
  <c r="H25" i="109" s="1"/>
  <c r="P14" i="93"/>
  <c r="D23" i="109"/>
  <c r="K23" i="109" s="1"/>
  <c r="H7" i="109"/>
  <c r="M29" i="110"/>
  <c r="O29" i="110"/>
  <c r="H9" i="109" s="1"/>
  <c r="A25" i="82" l="1"/>
  <c r="A27" i="82" s="1"/>
  <c r="A27" i="77"/>
  <c r="F9" i="109"/>
  <c r="R27" i="110"/>
  <c r="F9" i="91"/>
  <c r="M9" i="91"/>
  <c r="H15" i="109" s="1"/>
  <c r="K9" i="91"/>
  <c r="F15" i="109" s="1"/>
  <c r="L9" i="91"/>
  <c r="G15" i="109" s="1"/>
  <c r="N9" i="91"/>
  <c r="I15" i="109" s="1"/>
  <c r="A29" i="82" l="1"/>
  <c r="A31" i="82" s="1"/>
  <c r="A34" i="82" s="1"/>
  <c r="A36" i="82" s="1"/>
  <c r="A38" i="82" s="1"/>
  <c r="A40" i="82" s="1"/>
  <c r="A29" i="77"/>
  <c r="A34" i="77"/>
  <c r="A23" i="90"/>
  <c r="A27" i="90" s="1"/>
  <c r="A33" i="90" s="1"/>
  <c r="A37" i="90" s="1"/>
  <c r="A39" i="90" s="1"/>
  <c r="A41" i="90" s="1"/>
  <c r="A43" i="90" s="1"/>
  <c r="G28" i="109"/>
  <c r="I28" i="109"/>
  <c r="H28" i="109"/>
  <c r="F28" i="109"/>
  <c r="D11" i="109"/>
  <c r="K11" i="109" s="1"/>
  <c r="P154" i="77"/>
  <c r="P15" i="91"/>
  <c r="D15" i="109"/>
  <c r="K15" i="109" s="1"/>
  <c r="D7" i="109"/>
  <c r="K7" i="109" s="1"/>
  <c r="D9" i="109"/>
  <c r="A36" i="77" l="1"/>
  <c r="A38" i="77" s="1"/>
  <c r="A40" i="77" s="1"/>
  <c r="A44" i="77" s="1"/>
  <c r="A46" i="77" s="1"/>
  <c r="A48" i="77" s="1"/>
  <c r="A50" i="77" s="1"/>
  <c r="A52" i="77" s="1"/>
  <c r="A54" i="77" s="1"/>
  <c r="A58" i="77" s="1"/>
  <c r="A60" i="77" s="1"/>
  <c r="A62" i="77" s="1"/>
  <c r="A64" i="77" s="1"/>
  <c r="A66" i="77" s="1"/>
  <c r="A70" i="77" s="1"/>
  <c r="A72" i="77" s="1"/>
  <c r="A74" i="77" s="1"/>
  <c r="D25" i="109"/>
  <c r="K25" i="109" s="1"/>
  <c r="P15" i="78"/>
  <c r="K4" i="111"/>
  <c r="L7" i="111" s="1"/>
  <c r="K9" i="109"/>
  <c r="A76" i="77" l="1"/>
  <c r="A80" i="77" s="1"/>
  <c r="A82" i="77" s="1"/>
  <c r="A84" i="77" s="1"/>
  <c r="A86" i="77" s="1"/>
  <c r="A90" i="77" s="1"/>
  <c r="A92" i="77" s="1"/>
  <c r="A94" i="77" s="1"/>
  <c r="A98" i="77" s="1"/>
  <c r="A100" i="77" s="1"/>
  <c r="A102" i="77" s="1"/>
  <c r="A106" i="77" s="1"/>
  <c r="A108" i="77" s="1"/>
  <c r="A110" i="77" s="1"/>
  <c r="A114" i="77" s="1"/>
  <c r="A116" i="77" s="1"/>
  <c r="A118" i="77" s="1"/>
  <c r="A122" i="77" s="1"/>
  <c r="A124" i="77" s="1"/>
  <c r="A126" i="77" s="1"/>
  <c r="A128" i="77" s="1"/>
  <c r="A132" i="77" s="1"/>
  <c r="A134" i="77" s="1"/>
  <c r="A136" i="77" s="1"/>
  <c r="A138" i="77" s="1"/>
  <c r="A143" i="77" s="1"/>
  <c r="A147" i="77" s="1"/>
  <c r="A151" i="77" s="1"/>
  <c r="D28" i="109"/>
  <c r="L23" i="111"/>
  <c r="L15" i="111"/>
  <c r="L17" i="111"/>
  <c r="L19" i="111"/>
  <c r="L21" i="111"/>
  <c r="L25" i="111"/>
  <c r="L9" i="111"/>
  <c r="L13" i="111"/>
  <c r="L11" i="111"/>
  <c r="K28" i="109" l="1"/>
  <c r="D31" i="109"/>
  <c r="K27" i="111"/>
  <c r="M5" i="111" l="1"/>
  <c r="K2" i="111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<sst xmlns="http://schemas.openxmlformats.org/spreadsheetml/2006/main" count="685" uniqueCount="301">
  <si>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</si>
  <si>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</si>
  <si>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</si>
  <si>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</si>
  <si>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</si>
  <si>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</si>
  <si>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</si>
  <si>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</si>
  <si>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</si>
  <si>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</si>
  <si>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</si>
  <si>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</si>
  <si>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</si>
  <si>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</si>
  <si>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Mechanical</t>
  </si>
  <si>
    <t>Electrical</t>
  </si>
  <si>
    <t>Kitchen &amp; Bathrooms</t>
  </si>
  <si>
    <t>Door frame</t>
  </si>
  <si>
    <t>STUDWORK PARTITIONS</t>
  </si>
  <si>
    <t>Install single door</t>
  </si>
  <si>
    <t>Install ironmongery</t>
  </si>
  <si>
    <t>Joinery</t>
  </si>
  <si>
    <t>Decoration</t>
  </si>
  <si>
    <t>Internal Walls and Partitions</t>
  </si>
  <si>
    <t>SINGLE DOOR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</si>
  <si>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</si>
  <si>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</si>
  <si>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</si>
  <si>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</si>
  <si>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</si>
  <si>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Partitions</t>
  </si>
  <si>
    <t>Floor Finishes</t>
  </si>
  <si>
    <t xml:space="preserve">1 coat of primer and 1 coat of eggshell gloss to skirting and architraves </t>
  </si>
  <si>
    <t>1 coat of primer and 1 coat of eggshell gloss to doors</t>
  </si>
  <si>
    <t>Ceilings; 3mm skim finish</t>
  </si>
  <si>
    <t>Item</t>
  </si>
  <si>
    <t>TILING</t>
  </si>
  <si>
    <t>KITCHEN</t>
  </si>
  <si>
    <t>CEILINGS</t>
  </si>
  <si>
    <t>STRUCTURAL STEELWORK</t>
  </si>
  <si>
    <t>Doors</t>
  </si>
  <si>
    <t>Windows</t>
  </si>
  <si>
    <t>Rooflights</t>
  </si>
  <si>
    <t>Wall Finishes</t>
  </si>
  <si>
    <t>SKIRTING</t>
  </si>
  <si>
    <t>SPECIALIST JOINERY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</si>
  <si>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</si>
  <si>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</si>
  <si>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</si>
  <si>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</si>
  <si>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</si>
  <si>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</si>
  <si>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</si>
  <si>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</si>
  <si>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</si>
  <si>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All external works are provisional</t>
  </si>
  <si>
    <t>All finishes have been assumed therefore they are provisional</t>
  </si>
  <si>
    <t>Width (mm)</t>
  </si>
  <si>
    <t>Height (mm)</t>
  </si>
  <si>
    <t>KG/M</t>
  </si>
  <si>
    <t>BATHROOM WITH A SHOWER AND BATH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</si>
  <si>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</si>
  <si>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</si>
  <si>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</si>
  <si>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</si>
  <si>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</si>
  <si>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</si>
  <si>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</si>
  <si>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</si>
  <si>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</si>
  <si>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</si>
  <si>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</si>
  <si>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</si>
  <si>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</si>
  <si>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</si>
  <si>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</si>
  <si>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</si>
  <si>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</si>
  <si>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External Windows, Doors and Rooflights</t>
  </si>
  <si>
    <t>Structural Steelwork &amp; Timberwork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</si>
  <si>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</si>
  <si>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</si>
  <si>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</si>
  <si>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</si>
  <si>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</si>
  <si>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</si>
  <si>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</si>
  <si>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</si>
  <si>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</si>
  <si>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</si>
  <si>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</si>
  <si>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</si>
  <si>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</si>
  <si>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</si>
  <si>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</si>
  <si>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</si>
  <si>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</si>
  <si>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</si>
  <si>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</si>
  <si>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</si>
  <si>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</si>
  <si>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Weeks</t>
  </si>
  <si>
    <t>RATES</t>
  </si>
  <si>
    <t>TOTALS</t>
  </si>
  <si>
    <t>LABOUR</t>
  </si>
  <si>
    <t>MATERIALS</t>
  </si>
  <si>
    <t>Check</t>
  </si>
  <si>
    <t>Contractors Overheads</t>
  </si>
  <si>
    <t>Approx.</t>
  </si>
  <si>
    <t>WINDOW BOARDS</t>
  </si>
  <si>
    <t>1 coat of primer and 1 coat of eggshell gloss to window boards</t>
  </si>
  <si>
    <t xml:space="preserve">ARCHITRAVES </t>
  </si>
  <si>
    <t>WALL TILING (PROVISIONAL QUANTITY)</t>
  </si>
  <si>
    <t>SPLASHBACK TILING (PROVISIONAL QUANTITY)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</si>
  <si>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</si>
  <si>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</si>
  <si>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</si>
  <si>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</si>
  <si>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</si>
  <si>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</si>
  <si>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</si>
  <si>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</si>
  <si>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</si>
  <si>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</si>
  <si>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</si>
  <si>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</si>
  <si>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</si>
  <si>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</si>
  <si>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</si>
  <si>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</si>
  <si>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</si>
  <si>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</si>
  <si>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</si>
  <si>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</si>
  <si>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</si>
  <si>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</si>
  <si>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</si>
  <si>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</si>
  <si>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</si>
  <si>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</si>
  <si>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</si>
  <si>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</si>
  <si>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</si>
  <si>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</si>
  <si>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</si>
  <si>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</si>
  <si>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</si>
  <si>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</si>
  <si>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</si>
  <si>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Kitchens &amp; Bathrooms</t>
  </si>
  <si>
    <t>Structural Steelwork</t>
  </si>
  <si>
    <t>Windows, Doors &amp; Rooflights</t>
  </si>
  <si>
    <t>Document reference:</t>
  </si>
  <si>
    <t>Groundworker</t>
  </si>
  <si>
    <t>UPVC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</si>
  <si>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</si>
  <si>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</si>
  <si>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</si>
  <si>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</si>
  <si>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</si>
  <si>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</si>
  <si>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</si>
  <si>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</si>
  <si>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</si>
  <si>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 xml:space="preserve">EXTERNAL WINDOWS </t>
  </si>
  <si>
    <t>*ALL WINDOWS, DOORS AND ROOFLIGHTS ARE CLIENT SUPPLY, WE HAVE ALLOWED FOR INSTALLATION ONLY)</t>
  </si>
  <si>
    <t>Supply of windows, doors and rooflight</t>
  </si>
  <si>
    <t>Supply of internal doors &amp; ironmongery</t>
  </si>
  <si>
    <t>Supply of skirting and architraves</t>
  </si>
  <si>
    <t>Supply single door</t>
  </si>
  <si>
    <t>Supply ironmongery</t>
  </si>
  <si>
    <t>Structural timberwork and steelwork is provisional sum due to the lack of details</t>
  </si>
  <si>
    <t>All internal wall build up has been assumed and to be confirmed</t>
  </si>
  <si>
    <t>BOXING WORKS</t>
  </si>
  <si>
    <t>Boxing in works (Provisional Sum)</t>
  </si>
  <si>
    <t xml:space="preserve">A/C </t>
  </si>
  <si>
    <t>Ground Floor Window</t>
  </si>
  <si>
    <t>Ground Floor Exterior Door</t>
  </si>
  <si>
    <t>Fixtures</t>
  </si>
  <si>
    <t>ALLOWANCES</t>
  </si>
  <si>
    <t>SKIM ON PLASTER BOARD</t>
  </si>
  <si>
    <t>Framing</t>
  </si>
  <si>
    <t>GL1 Lining Channel' @ 545mm C.R.S</t>
  </si>
  <si>
    <t>GL8 Track @ Top &amp; Bottom</t>
  </si>
  <si>
    <t>INTERNAL DOORS</t>
  </si>
  <si>
    <t xml:space="preserve">Architraves </t>
  </si>
  <si>
    <t>Wood Skirting (Assumed) (145mm H x 3m L)</t>
  </si>
  <si>
    <t>Tile Skirting In Wet Areas (Assumed) (100mm H x 1.2m L)</t>
  </si>
  <si>
    <t>(0.6m W x 0.8m H) Kitchen Lower Cabinet</t>
  </si>
  <si>
    <t>(0.3m W x 0.8m H) Kitchen Upper Cabinet</t>
  </si>
  <si>
    <t>(0.5m W x 2.4m H) Pantry Closet/Shelf</t>
  </si>
  <si>
    <t>(0.8m W x 2m L) Kitchen Island</t>
  </si>
  <si>
    <t>(0.8m W ) Kitchen Island</t>
  </si>
  <si>
    <t xml:space="preserve">Window boards </t>
  </si>
  <si>
    <t>no</t>
  </si>
  <si>
    <t>Wood Flooring</t>
  </si>
  <si>
    <t>Engineered HardWood Flooring (Assumed)
Size: (190mm W x 20mm T x 1.9m L)</t>
  </si>
  <si>
    <t>Tile Flooring (Assumed)
Size: (600mm W x 600mm L)</t>
  </si>
  <si>
    <t>WALL PAINT (PROVISIONAL QUANTITY)</t>
  </si>
  <si>
    <t>Paint On Wall</t>
  </si>
  <si>
    <t>Kitchen Range w/ Hood</t>
  </si>
  <si>
    <t>Kitchen Sink</t>
  </si>
  <si>
    <t>Water Closet</t>
  </si>
  <si>
    <t>Lavatory</t>
  </si>
  <si>
    <t>Bath Tub</t>
  </si>
  <si>
    <t>Shower</t>
  </si>
  <si>
    <t>Accessories</t>
  </si>
  <si>
    <t>Soap Dispenser</t>
  </si>
  <si>
    <t>Tissue Dispenser</t>
  </si>
  <si>
    <t>Tooth Brush Holder</t>
  </si>
  <si>
    <t>(0.6m x 0.9m) Wall Mounted Mirror</t>
  </si>
  <si>
    <t>Hand Dryer</t>
  </si>
  <si>
    <t>0.9m Grab Bar</t>
  </si>
  <si>
    <t>1m Grab Bar</t>
  </si>
  <si>
    <t>Install Kitchen Countertop (0.6m Wide)</t>
  </si>
  <si>
    <t>Wall Type 1</t>
  </si>
  <si>
    <t>Studwork; 25mm x 50mm</t>
  </si>
  <si>
    <t>K118' Insulated Plaster Board (62.5mm Thick)</t>
  </si>
  <si>
    <t>Thistle 'Multi-Finish' Skim (2.5mm Thick)</t>
  </si>
  <si>
    <t>Sika Standard Drainage Membrane (6.5 mm)</t>
  </si>
  <si>
    <t>Wall Type 2</t>
  </si>
  <si>
    <t>Gyproc 'Wall Board' (12.5mm Thick)</t>
  </si>
  <si>
    <t>Wall Type 3</t>
  </si>
  <si>
    <t>Studwork; 37.5mm x 50mm</t>
  </si>
  <si>
    <t>Wall Type 4</t>
  </si>
  <si>
    <t>Studwork; 95mm x 45mm</t>
  </si>
  <si>
    <t>95x45 Sole Plate</t>
  </si>
  <si>
    <t>Rockwool 'Sound Insulation Slab' Stone Wool (70mm Thick)</t>
  </si>
  <si>
    <t>Wall Type 5</t>
  </si>
  <si>
    <t>Wall Type 6</t>
  </si>
  <si>
    <t>Rockwool 'Sound Insulation Slab' Stone Wool (50mm Thick)</t>
  </si>
  <si>
    <t>Wall Type 7</t>
  </si>
  <si>
    <t>K118' insulated Plasterboard (62.5mm Thick)</t>
  </si>
  <si>
    <t>Gyproc 'DriWall Adhesive' dabs</t>
  </si>
  <si>
    <t xml:space="preserve">K Rend 'Silicone K1' </t>
  </si>
  <si>
    <t>Wall Type 8</t>
  </si>
  <si>
    <t xml:space="preserve"> 'K107 Framing Board' Rigid Thermoset Insulation (75mm Thick)</t>
  </si>
  <si>
    <t>Wall Type 9</t>
  </si>
  <si>
    <t>Isover 'Acoustic Partition Roll' (25mm Thick)</t>
  </si>
  <si>
    <t>Gyproc 'SoundBloc MR' (12.5mm Thick)</t>
  </si>
  <si>
    <t>Wall Type 10</t>
  </si>
  <si>
    <t>Adhesive bonding Of Gyproc 'Driwall Adhesive' Dabs</t>
  </si>
  <si>
    <t xml:space="preserve"> K118' Insulated Plasterboard (62.5mm Thick)</t>
  </si>
  <si>
    <t>Wall Type 11</t>
  </si>
  <si>
    <t>Wall Type 13</t>
  </si>
  <si>
    <t>Gyproc 'Wall Board'  (15mm Thick)</t>
  </si>
  <si>
    <t>Wall Type 14</t>
  </si>
  <si>
    <t>EXTERNAL AND INTERNAL REFURBISHMENT OF EXISTING APARTMENTS</t>
  </si>
  <si>
    <t>PROJECT:EXTERNAL AND INTERNAL REFURBISHMENT OF EXISTING APARTMENTS</t>
  </si>
  <si>
    <t>DATE: 29TH OCTOBER 2025</t>
  </si>
  <si>
    <t>15mm Insulated plasterboard</t>
  </si>
  <si>
    <t xml:space="preserve">Install Tiles to Bathrooms </t>
  </si>
  <si>
    <t>Splashback Tile In Kitchen</t>
  </si>
  <si>
    <t>Allowances For Electrical Work (505 m2)</t>
  </si>
  <si>
    <t>Allowances For Mechanical Work (505 m2)</t>
  </si>
  <si>
    <t>Wall</t>
  </si>
  <si>
    <t>25x50mm Treated Timber Batten @ 400mm C.R.S  (3.6 M)</t>
  </si>
  <si>
    <t>Pc's</t>
  </si>
  <si>
    <t>25x50mm Treated Timber Batten Horz. @ 600mm C.R.S  (3.6m H)</t>
  </si>
  <si>
    <t>37.5x50mm Treated Timber Batten Horz. @ 600mm C.R.S (3.6 M)</t>
  </si>
  <si>
    <t>37.5x50mm Treated Timber Batten Vert. @ 400mm C.R.S (3.6 M)</t>
  </si>
  <si>
    <t>95x45mm Treated Timber Batten Horz. @ 600mm C.R.S (2.4 M)</t>
  </si>
  <si>
    <t>95x45mm Treated Timber Batten Vert. @ 1200mm C.R.S (2.4 M)</t>
  </si>
  <si>
    <t>95x45mm Sole Plate (3.6m L)</t>
  </si>
  <si>
    <t>GL1 Lining Channel' @ 545mm C.R.S (3.6 M)</t>
  </si>
  <si>
    <t>GL8 Track @ Top &amp; Bottom (3.6 M)</t>
  </si>
  <si>
    <t>Sika Standard Drainage Membrane (2.05m W x 20m L x 6.5mm T)</t>
  </si>
  <si>
    <t>Rolls</t>
  </si>
  <si>
    <t>K118' Insulated Plaster Board (1.2m W x 2.4m L x 62.5mm T)</t>
  </si>
  <si>
    <t>Sheets</t>
  </si>
  <si>
    <t>Gyproc 'Wall Board' (1.2m W x 2.4m L x 12.5mm T)</t>
  </si>
  <si>
    <t>Gyproc 'Wall Board' (1.2m W x 2.4m L x 15mm T)</t>
  </si>
  <si>
    <t>Gyproc 'SoundBloc MR' Plaster Board
Size: (1.2m W x 2.4m L x 12.5mm T)</t>
  </si>
  <si>
    <t>Rockwool 'Sound Insulation Slab' Stone Wool 
Size: (0.6m W x 1.2m L x 70mm T)</t>
  </si>
  <si>
    <t>Rockwool 'Sound Insulation Slab' Stone Wool 
Size: (0.6m W x 1.2m L x 50mm T)</t>
  </si>
  <si>
    <t xml:space="preserve"> 'K107 Framing Board' Rigid Thermoset Insulation 
Size: (1.2m W x 2.4m L x 75mm T)</t>
  </si>
  <si>
    <t>Bags</t>
  </si>
  <si>
    <t>K Rend 'Silicone K1' 
For (20mm Thickness) 25Kg Bag</t>
  </si>
  <si>
    <t>Finishes</t>
  </si>
  <si>
    <t>Insulated Plasterboard Ceiling
Size: (1.2m W x 2.4m L x 15mm T)</t>
  </si>
  <si>
    <t>No. Of Planks</t>
  </si>
  <si>
    <t>No. Of Tiles</t>
  </si>
  <si>
    <t>Tile On Wall 
Size: (300mm W x 600mm L)</t>
  </si>
  <si>
    <t>Litre</t>
  </si>
  <si>
    <t>Skirts</t>
  </si>
  <si>
    <t>Kitchen &amp; Bathroom</t>
  </si>
  <si>
    <t>EA</t>
  </si>
  <si>
    <t>0.6m W  Kitchen Countertop</t>
  </si>
  <si>
    <t>M2</t>
  </si>
  <si>
    <t>Bath Accessories</t>
  </si>
  <si>
    <t>Plumbing Fixtures</t>
  </si>
  <si>
    <t>M</t>
  </si>
  <si>
    <t>Opening</t>
  </si>
  <si>
    <t>(762mm x 2134mm) Single Leaf Solid Core Wood Door w/ Frame</t>
  </si>
  <si>
    <t>(710mm x 2032mm) Single Leaf Solid Core Wood Door w/ Frame</t>
  </si>
  <si>
    <t>(813mm x 2134mm) Single Leaf Solid Core Wood Door w/ Frame</t>
  </si>
  <si>
    <t>(1.8m x 1.8m) Window w/ Frame</t>
  </si>
  <si>
    <t>(0.8m x 1.8m) Window w/ Frame</t>
  </si>
  <si>
    <r>
      <t>Thistle 'Multi-Finish' Skim
For (2.5mm thickness) 25Kg Bag Covers 8m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Area</t>
    </r>
  </si>
  <si>
    <r>
      <t>Gyproc 'DriWall Adhesive' dabs
For (10mm Thickness) 25Kg Bag Covers 6m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Area</t>
    </r>
  </si>
  <si>
    <t>25x50mm Treated Timber Batten Vert. @ 545mm C.R.S  (3.6 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</si>
</sst>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£&quot;#,##0.00_);\(&quot;£&quot;#,##0.00\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6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sz val="14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2"/>
      <color theme="0" tint="-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  <font>
      <sz val="11"/>
      <color rgb="FF000000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48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/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4" fillId="0" borderId="8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" fontId="8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66" fontId="13" fillId="0" borderId="8" xfId="0" applyNumberFormat="1" applyFont="1" applyBorder="1" applyAlignment="1">
      <alignment vertical="center" wrapText="1"/>
    </xf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166" fontId="13" fillId="0" borderId="8" xfId="0" applyNumberFormat="1" applyFont="1" applyBorder="1" applyAlignment="1">
      <alignment horizontal="center" wrapText="1"/>
    </xf>
    <xf numFmtId="2" fontId="34" fillId="0" borderId="0" xfId="7" applyNumberFormat="1" applyFont="1" applyAlignment="1">
      <alignment horizontal="center"/>
    </xf>
    <xf numFmtId="166" fontId="34" fillId="0" borderId="7" xfId="7" applyNumberFormat="1" applyFont="1" applyBorder="1" applyAlignment="1">
      <alignment horizontal="center"/>
    </xf>
    <xf numFmtId="166" fontId="34" fillId="0" borderId="6" xfId="7" applyNumberFormat="1" applyFont="1" applyBorder="1" applyAlignment="1">
      <alignment horizontal="center"/>
    </xf>
    <xf numFmtId="166" fontId="34" fillId="0" borderId="0" xfId="7" applyNumberFormat="1" applyFont="1"/>
    <xf numFmtId="0" fontId="34" fillId="0" borderId="0" xfId="7" applyFont="1"/>
    <xf numFmtId="166" fontId="34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5" fillId="0" borderId="0" xfId="4" applyFont="1"/>
    <xf numFmtId="0" fontId="37" fillId="0" borderId="0" xfId="4" applyFont="1" applyAlignment="1">
      <alignment wrapText="1"/>
    </xf>
    <xf numFmtId="0" fontId="32" fillId="2" borderId="9" xfId="4" applyFont="1" applyFill="1" applyBorder="1" applyAlignment="1">
      <alignment vertical="center" wrapText="1"/>
    </xf>
    <xf numFmtId="0" fontId="32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8" applyFont="1"/>
    <xf numFmtId="0" fontId="38" fillId="0" borderId="0" xfId="7" applyFont="1"/>
    <xf numFmtId="0" fontId="39" fillId="0" borderId="0" xfId="0" applyFont="1"/>
    <xf numFmtId="0" fontId="36" fillId="2" borderId="10" xfId="7" applyFont="1" applyFill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/>
    </xf>
    <xf numFmtId="0" fontId="40" fillId="0" borderId="8" xfId="0" applyFont="1" applyBorder="1" applyAlignment="1">
      <alignment horizontal="left" indent="2"/>
    </xf>
    <xf numFmtId="0" fontId="40" fillId="0" borderId="8" xfId="0" applyFont="1" applyBorder="1"/>
    <xf numFmtId="0" fontId="36" fillId="2" borderId="9" xfId="7" applyFont="1" applyFill="1" applyBorder="1" applyAlignment="1">
      <alignment vertical="center"/>
    </xf>
    <xf numFmtId="2" fontId="36" fillId="2" borderId="10" xfId="7" applyNumberFormat="1" applyFont="1" applyFill="1" applyBorder="1" applyAlignment="1">
      <alignment horizontal="center" vertical="center"/>
    </xf>
    <xf numFmtId="166" fontId="36" fillId="2" borderId="11" xfId="1" applyNumberFormat="1" applyFont="1" applyFill="1" applyBorder="1" applyAlignment="1">
      <alignment horizontal="center" vertical="center"/>
    </xf>
    <xf numFmtId="166" fontId="34" fillId="0" borderId="0" xfId="7" applyNumberFormat="1" applyFont="1" applyAlignment="1">
      <alignment horizontal="center" vertical="center"/>
    </xf>
    <xf numFmtId="0" fontId="34" fillId="0" borderId="0" xfId="7" applyFont="1" applyAlignment="1">
      <alignment vertical="center"/>
    </xf>
    <xf numFmtId="0" fontId="34" fillId="0" borderId="8" xfId="7" applyFont="1" applyBorder="1"/>
    <xf numFmtId="166" fontId="35" fillId="0" borderId="7" xfId="1" applyNumberFormat="1" applyFont="1" applyBorder="1" applyAlignment="1">
      <alignment horizontal="center"/>
    </xf>
    <xf numFmtId="0" fontId="36" fillId="2" borderId="9" xfId="7" applyFont="1" applyFill="1" applyBorder="1" applyAlignment="1">
      <alignment vertical="center" wrapText="1"/>
    </xf>
    <xf numFmtId="0" fontId="36" fillId="0" borderId="1" xfId="7" applyFont="1" applyBorder="1" applyAlignment="1">
      <alignment vertical="center" wrapText="1"/>
    </xf>
    <xf numFmtId="2" fontId="36" fillId="0" borderId="2" xfId="7" applyNumberFormat="1" applyFont="1" applyBorder="1" applyAlignment="1">
      <alignment horizontal="center" vertical="center"/>
    </xf>
    <xf numFmtId="166" fontId="36" fillId="0" borderId="3" xfId="1" applyNumberFormat="1" applyFont="1" applyFill="1" applyBorder="1" applyAlignment="1">
      <alignment horizontal="center" vertical="center"/>
    </xf>
    <xf numFmtId="0" fontId="34" fillId="0" borderId="4" xfId="7" applyFont="1" applyBorder="1"/>
    <xf numFmtId="2" fontId="34" fillId="0" borderId="5" xfId="7" applyNumberFormat="1" applyFont="1" applyBorder="1" applyAlignment="1">
      <alignment horizontal="center"/>
    </xf>
    <xf numFmtId="0" fontId="34" fillId="0" borderId="0" xfId="7" applyFont="1" applyAlignment="1">
      <alignment horizontal="left" wrapText="1"/>
    </xf>
    <xf numFmtId="2" fontId="34" fillId="0" borderId="0" xfId="1" applyNumberFormat="1" applyFont="1" applyFill="1" applyBorder="1" applyAlignment="1">
      <alignment horizontal="center"/>
    </xf>
    <xf numFmtId="166" fontId="34" fillId="0" borderId="0" xfId="1" applyNumberFormat="1" applyFont="1" applyFill="1" applyBorder="1" applyAlignment="1">
      <alignment horizontal="center"/>
    </xf>
    <xf numFmtId="0" fontId="34" fillId="0" borderId="0" xfId="7" applyFont="1" applyAlignment="1">
      <alignment wrapText="1"/>
    </xf>
    <xf numFmtId="0" fontId="41" fillId="0" borderId="0" xfId="7" applyFont="1" applyAlignment="1">
      <alignment wrapText="1"/>
    </xf>
    <xf numFmtId="2" fontId="41" fillId="0" borderId="0" xfId="7" applyNumberFormat="1" applyFont="1" applyAlignment="1">
      <alignment horizontal="center" wrapText="1"/>
    </xf>
    <xf numFmtId="166" fontId="41" fillId="0" borderId="0" xfId="1" applyNumberFormat="1" applyFont="1" applyFill="1" applyBorder="1" applyAlignment="1">
      <alignment horizontal="center"/>
    </xf>
    <xf numFmtId="0" fontId="36" fillId="0" borderId="0" xfId="7" applyFont="1" applyAlignment="1">
      <alignment wrapText="1"/>
    </xf>
    <xf numFmtId="2" fontId="41" fillId="0" borderId="0" xfId="7" applyNumberFormat="1" applyFont="1" applyAlignment="1">
      <alignment horizontal="center"/>
    </xf>
    <xf numFmtId="166" fontId="36" fillId="0" borderId="0" xfId="7" applyNumberFormat="1" applyFont="1" applyAlignment="1">
      <alignment horizontal="center"/>
    </xf>
    <xf numFmtId="17" fontId="39" fillId="0" borderId="0" xfId="0" applyNumberFormat="1" applyFont="1"/>
    <xf numFmtId="2" fontId="16" fillId="0" borderId="0" xfId="0" applyNumberFormat="1" applyFont="1" applyAlignment="1">
      <alignment horizontal="center"/>
    </xf>
    <xf numFmtId="166" fontId="16" fillId="0" borderId="2" xfId="0" applyNumberFormat="1" applyFont="1" applyBorder="1"/>
    <xf numFmtId="0" fontId="16" fillId="0" borderId="2" xfId="0" applyFont="1" applyBorder="1"/>
    <xf numFmtId="2" fontId="17" fillId="0" borderId="0" xfId="0" applyNumberFormat="1" applyFont="1" applyAlignment="1">
      <alignment horizontal="center"/>
    </xf>
    <xf numFmtId="0" fontId="18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167" fontId="26" fillId="0" borderId="0" xfId="0" applyNumberFormat="1" applyFont="1" applyAlignment="1">
      <alignment wrapText="1"/>
    </xf>
    <xf numFmtId="0" fontId="16" fillId="0" borderId="4" xfId="0" applyFont="1" applyBorder="1" applyAlignment="1">
      <alignment horizontal="center"/>
    </xf>
    <xf numFmtId="167" fontId="19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2" fillId="0" borderId="0" xfId="0" applyFont="1"/>
    <xf numFmtId="0" fontId="21" fillId="0" borderId="0" xfId="0" applyFont="1" applyAlignment="1">
      <alignment horizontal="left" wrapText="1"/>
    </xf>
    <xf numFmtId="167" fontId="25" fillId="0" borderId="0" xfId="0" applyNumberFormat="1" applyFont="1" applyAlignment="1">
      <alignment wrapText="1"/>
    </xf>
    <xf numFmtId="0" fontId="24" fillId="0" borderId="4" xfId="0" applyFont="1" applyBorder="1" applyAlignment="1">
      <alignment horizontal="center"/>
    </xf>
    <xf numFmtId="167" fontId="25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1" fillId="0" borderId="0" xfId="0" applyFont="1" applyAlignment="1">
      <alignment wrapText="1"/>
    </xf>
    <xf numFmtId="166" fontId="13" fillId="0" borderId="0" xfId="0" applyNumberFormat="1" applyFont="1" applyAlignment="1">
      <alignment horizontal="left"/>
    </xf>
    <xf numFmtId="0" fontId="21" fillId="0" borderId="0" xfId="0" applyFont="1"/>
    <xf numFmtId="2" fontId="25" fillId="0" borderId="0" xfId="0" applyNumberFormat="1" applyFont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3" fillId="0" borderId="0" xfId="0" applyFont="1" applyAlignment="1">
      <alignment wrapText="1"/>
    </xf>
    <xf numFmtId="0" fontId="31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166" fontId="27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/>
    </xf>
    <xf numFmtId="0" fontId="16" fillId="0" borderId="0" xfId="0" applyFont="1" applyAlignment="1">
      <alignment horizontal="center" vertical="center" wrapText="1"/>
    </xf>
    <xf numFmtId="167" fontId="25" fillId="0" borderId="0" xfId="0" applyNumberFormat="1" applyFont="1" applyAlignment="1">
      <alignment horizontal="center" vertical="center" wrapText="1"/>
    </xf>
    <xf numFmtId="2" fontId="16" fillId="0" borderId="5" xfId="0" applyNumberFormat="1" applyFont="1" applyBorder="1" applyAlignment="1">
      <alignment horizontal="left"/>
    </xf>
    <xf numFmtId="2" fontId="16" fillId="0" borderId="5" xfId="0" applyNumberFormat="1" applyFont="1" applyBorder="1" applyAlignment="1">
      <alignment horizontal="center" vertical="center"/>
    </xf>
    <xf numFmtId="167" fontId="25" fillId="0" borderId="5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6" fontId="13" fillId="0" borderId="6" xfId="0" applyNumberFormat="1" applyFont="1" applyBorder="1" applyAlignment="1">
      <alignment horizontal="center"/>
    </xf>
    <xf numFmtId="0" fontId="13" fillId="0" borderId="3" xfId="0" applyFont="1" applyBorder="1"/>
    <xf numFmtId="0" fontId="13" fillId="0" borderId="6" xfId="0" applyFont="1" applyBorder="1"/>
    <xf numFmtId="166" fontId="34" fillId="0" borderId="8" xfId="7" applyNumberFormat="1" applyFont="1" applyBorder="1" applyAlignment="1">
      <alignment horizontal="center" vertical="center"/>
    </xf>
    <xf numFmtId="166" fontId="34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42" fillId="2" borderId="9" xfId="0" applyFont="1" applyFill="1" applyBorder="1" applyAlignment="1">
      <alignment horizontal="center" vertical="center"/>
    </xf>
    <xf numFmtId="0" fontId="43" fillId="2" borderId="10" xfId="0" applyFont="1" applyFill="1" applyBorder="1" applyAlignment="1">
      <alignment vertical="center"/>
    </xf>
    <xf numFmtId="2" fontId="42" fillId="2" borderId="10" xfId="0" applyNumberFormat="1" applyFont="1" applyFill="1" applyBorder="1" applyAlignment="1">
      <alignment horizontal="center" vertical="center"/>
    </xf>
    <xf numFmtId="0" fontId="42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42" fillId="2" borderId="10" xfId="0" applyNumberFormat="1" applyFont="1" applyFill="1" applyBorder="1" applyAlignment="1">
      <alignment horizontal="center" vertical="center"/>
    </xf>
    <xf numFmtId="166" fontId="44" fillId="0" borderId="0" xfId="0" applyNumberFormat="1" applyFont="1" applyAlignment="1">
      <alignment horizontal="center"/>
    </xf>
    <xf numFmtId="166" fontId="36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3" fillId="0" borderId="4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166" fontId="28" fillId="0" borderId="0" xfId="0" applyNumberFormat="1" applyFont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166" fontId="27" fillId="0" borderId="7" xfId="0" applyNumberFormat="1" applyFont="1" applyBorder="1" applyAlignment="1">
      <alignment horizontal="center"/>
    </xf>
    <xf numFmtId="0" fontId="13" fillId="0" borderId="5" xfId="0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 applyAlignment="1">
      <alignment horizontal="center"/>
    </xf>
    <xf numFmtId="166" fontId="16" fillId="0" borderId="3" xfId="0" applyNumberFormat="1" applyFont="1" applyBorder="1"/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6" fontId="13" fillId="0" borderId="8" xfId="0" applyNumberFormat="1" applyFont="1" applyBorder="1" applyAlignment="1">
      <alignment horizontal="left"/>
    </xf>
    <xf numFmtId="0" fontId="34" fillId="0" borderId="0" xfId="7" applyFont="1" applyAlignment="1">
      <alignment horizontal="center" vertical="center"/>
    </xf>
    <xf numFmtId="0" fontId="34" fillId="0" borderId="7" xfId="7" applyFont="1" applyBorder="1" applyAlignment="1">
      <alignment horizontal="center" vertical="center"/>
    </xf>
    <xf numFmtId="166" fontId="34" fillId="0" borderId="4" xfId="7" applyNumberFormat="1" applyFont="1" applyBorder="1" applyAlignment="1">
      <alignment horizontal="center" vertical="center"/>
    </xf>
    <xf numFmtId="166" fontId="34" fillId="0" borderId="5" xfId="7" applyNumberFormat="1" applyFont="1" applyBorder="1" applyAlignment="1">
      <alignment horizontal="center" vertical="center"/>
    </xf>
    <xf numFmtId="0" fontId="34" fillId="0" borderId="6" xfId="7" applyFont="1" applyBorder="1" applyAlignment="1">
      <alignment horizontal="center" vertical="center"/>
    </xf>
    <xf numFmtId="166" fontId="36" fillId="0" borderId="7" xfId="7" applyNumberFormat="1" applyFont="1" applyBorder="1" applyAlignment="1">
      <alignment horizontal="center" vertical="center"/>
    </xf>
    <xf numFmtId="166" fontId="34" fillId="3" borderId="8" xfId="7" applyNumberFormat="1" applyFont="1" applyFill="1" applyBorder="1" applyAlignment="1">
      <alignment horizontal="center" vertical="center"/>
    </xf>
    <xf numFmtId="166" fontId="34" fillId="4" borderId="0" xfId="7" applyNumberFormat="1" applyFont="1" applyFill="1" applyAlignment="1">
      <alignment horizontal="center" vertical="center"/>
    </xf>
    <xf numFmtId="166" fontId="36" fillId="4" borderId="0" xfId="7" applyNumberFormat="1" applyFont="1" applyFill="1" applyAlignment="1">
      <alignment horizontal="center" vertical="center"/>
    </xf>
    <xf numFmtId="166" fontId="36" fillId="3" borderId="8" xfId="7" applyNumberFormat="1" applyFont="1" applyFill="1" applyBorder="1" applyAlignment="1">
      <alignment horizontal="center" vertical="center"/>
    </xf>
    <xf numFmtId="1" fontId="10" fillId="2" borderId="10" xfId="0" applyNumberFormat="1" applyFont="1" applyFill="1" applyBorder="1" applyAlignment="1">
      <alignment horizontal="center"/>
    </xf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13" fillId="0" borderId="16" xfId="0" applyFont="1" applyBorder="1"/>
    <xf numFmtId="166" fontId="16" fillId="0" borderId="8" xfId="0" applyNumberFormat="1" applyFont="1" applyBorder="1"/>
    <xf numFmtId="166" fontId="25" fillId="0" borderId="0" xfId="0" applyNumberFormat="1" applyFont="1"/>
    <xf numFmtId="166" fontId="13" fillId="0" borderId="1" xfId="0" applyNumberFormat="1" applyFont="1" applyBorder="1"/>
    <xf numFmtId="166" fontId="8" fillId="0" borderId="8" xfId="0" applyNumberFormat="1" applyFont="1" applyBorder="1" applyAlignment="1">
      <alignment horizontal="center"/>
    </xf>
    <xf numFmtId="166" fontId="13" fillId="0" borderId="2" xfId="0" applyNumberFormat="1" applyFont="1" applyBorder="1"/>
    <xf numFmtId="0" fontId="46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6" fillId="0" borderId="0" xfId="7" applyNumberFormat="1" applyFont="1" applyAlignment="1">
      <alignment horizontal="center" vertical="center"/>
    </xf>
    <xf numFmtId="0" fontId="36" fillId="0" borderId="7" xfId="7" applyFont="1" applyBorder="1" applyAlignment="1">
      <alignment horizontal="center" vertical="center"/>
    </xf>
    <xf numFmtId="0" fontId="34" fillId="0" borderId="5" xfId="7" applyFont="1" applyBorder="1" applyAlignment="1">
      <alignment horizontal="center" vertical="center"/>
    </xf>
    <xf numFmtId="2" fontId="50" fillId="0" borderId="0" xfId="0" applyNumberFormat="1" applyFont="1" applyAlignment="1">
      <alignment horizontal="center" vertical="center"/>
    </xf>
    <xf numFmtId="0" fontId="0" fillId="0" borderId="0" xfId="0" applyProtection="1">
      <protection locked="0"/>
    </xf>
    <xf numFmtId="0" fontId="33" fillId="2" borderId="9" xfId="7" applyFont="1" applyFill="1" applyBorder="1" applyAlignment="1" applyProtection="1">
      <alignment horizontal="center" vertical="center"/>
      <protection locked="0"/>
    </xf>
    <xf numFmtId="0" fontId="33" fillId="2" borderId="10" xfId="7" applyFont="1" applyFill="1" applyBorder="1" applyAlignment="1" applyProtection="1">
      <alignment horizontal="center" vertical="center"/>
      <protection locked="0"/>
    </xf>
    <xf numFmtId="0" fontId="33" fillId="2" borderId="11" xfId="7" applyFont="1" applyFill="1" applyBorder="1" applyAlignment="1" applyProtection="1">
      <alignment horizontal="center" vertical="center"/>
      <protection locked="0"/>
    </xf>
    <xf numFmtId="0" fontId="47" fillId="0" borderId="8" xfId="0" applyFont="1" applyBorder="1" applyProtection="1">
      <protection locked="0"/>
    </xf>
    <xf numFmtId="2" fontId="34" fillId="0" borderId="0" xfId="7" applyNumberFormat="1" applyFont="1" applyAlignment="1" applyProtection="1">
      <alignment horizontal="center"/>
      <protection locked="0"/>
    </xf>
    <xf numFmtId="0" fontId="48" fillId="0" borderId="0" xfId="7" applyFont="1" applyAlignment="1" applyProtection="1">
      <alignment horizontal="center"/>
      <protection locked="0"/>
    </xf>
    <xf numFmtId="2" fontId="34" fillId="0" borderId="0" xfId="1" applyNumberFormat="1" applyFont="1" applyBorder="1" applyAlignment="1" applyProtection="1">
      <alignment horizontal="center"/>
      <protection locked="0"/>
    </xf>
    <xf numFmtId="166" fontId="34" fillId="0" borderId="7" xfId="7" applyNumberFormat="1" applyFont="1" applyBorder="1" applyAlignment="1" applyProtection="1">
      <alignment horizontal="center"/>
      <protection locked="0"/>
    </xf>
    <xf numFmtId="0" fontId="36" fillId="2" borderId="8" xfId="7" applyFont="1" applyFill="1" applyBorder="1" applyAlignment="1" applyProtection="1">
      <alignment vertical="center"/>
      <protection locked="0"/>
    </xf>
    <xf numFmtId="10" fontId="36" fillId="2" borderId="0" xfId="7" applyNumberFormat="1" applyFont="1" applyFill="1" applyAlignment="1" applyProtection="1">
      <alignment horizontal="center"/>
      <protection locked="0"/>
    </xf>
    <xf numFmtId="2" fontId="49" fillId="2" borderId="0" xfId="7" applyNumberFormat="1" applyFont="1" applyFill="1" applyAlignment="1" applyProtection="1">
      <alignment horizontal="center"/>
      <protection locked="0"/>
    </xf>
    <xf numFmtId="2" fontId="34" fillId="2" borderId="0" xfId="1" applyNumberFormat="1" applyFont="1" applyFill="1" applyBorder="1" applyAlignment="1" applyProtection="1">
      <alignment horizontal="center"/>
      <protection locked="0"/>
    </xf>
    <xf numFmtId="166" fontId="34" fillId="2" borderId="7" xfId="7" applyNumberFormat="1" applyFont="1" applyFill="1" applyBorder="1" applyAlignment="1" applyProtection="1">
      <alignment horizontal="center"/>
      <protection locked="0"/>
    </xf>
    <xf numFmtId="0" fontId="36" fillId="0" borderId="8" xfId="7" applyFont="1" applyBorder="1" applyAlignment="1" applyProtection="1">
      <alignment vertical="center"/>
      <protection locked="0"/>
    </xf>
    <xf numFmtId="10" fontId="36" fillId="0" borderId="0" xfId="7" applyNumberFormat="1" applyFont="1" applyAlignment="1" applyProtection="1">
      <alignment horizontal="center"/>
      <protection locked="0"/>
    </xf>
    <xf numFmtId="0" fontId="49" fillId="0" borderId="0" xfId="7" applyFont="1" applyAlignment="1" applyProtection="1">
      <alignment horizontal="center"/>
      <protection locked="0"/>
    </xf>
    <xf numFmtId="2" fontId="36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4" fillId="0" borderId="0" xfId="1" applyNumberFormat="1" applyFont="1" applyFill="1" applyBorder="1" applyAlignment="1" applyProtection="1">
      <alignment horizontal="center"/>
      <protection locked="0"/>
    </xf>
    <xf numFmtId="0" fontId="36" fillId="2" borderId="4" xfId="7" applyFont="1" applyFill="1" applyBorder="1" applyAlignment="1" applyProtection="1">
      <alignment vertical="center"/>
      <protection locked="0"/>
    </xf>
    <xf numFmtId="10" fontId="36" fillId="2" borderId="5" xfId="7" applyNumberFormat="1" applyFont="1" applyFill="1" applyBorder="1" applyAlignment="1" applyProtection="1">
      <alignment horizontal="center"/>
      <protection locked="0"/>
    </xf>
    <xf numFmtId="2" fontId="49" fillId="2" borderId="5" xfId="7" applyNumberFormat="1" applyFont="1" applyFill="1" applyBorder="1" applyAlignment="1" applyProtection="1">
      <alignment horizontal="center"/>
      <protection locked="0"/>
    </xf>
    <xf numFmtId="2" fontId="34" fillId="2" borderId="5" xfId="1" applyNumberFormat="1" applyFont="1" applyFill="1" applyBorder="1" applyAlignment="1" applyProtection="1">
      <alignment horizontal="center"/>
      <protection locked="0"/>
    </xf>
    <xf numFmtId="166" fontId="34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8" fillId="0" borderId="0" xfId="0" applyFont="1" applyAlignment="1" applyProtection="1">
      <alignment wrapText="1"/>
      <protection locked="0"/>
    </xf>
    <xf numFmtId="0" fontId="28" fillId="0" borderId="0" xfId="0" applyFont="1" applyProtection="1">
      <protection locked="0"/>
    </xf>
    <xf numFmtId="0" fontId="51" fillId="0" borderId="0" xfId="0" applyFont="1" applyProtection="1">
      <protection locked="0"/>
    </xf>
    <xf numFmtId="0" fontId="29" fillId="0" borderId="0" xfId="0" applyFont="1" applyAlignment="1" applyProtection="1">
      <alignment horizontal="center"/>
      <protection locked="0"/>
    </xf>
    <xf numFmtId="0" fontId="51" fillId="0" borderId="0" xfId="0" applyFont="1" applyAlignment="1" applyProtection="1">
      <alignment horizontal="center"/>
      <protection locked="0"/>
    </xf>
    <xf numFmtId="1" fontId="28" fillId="0" borderId="0" xfId="0" applyNumberFormat="1" applyFont="1" applyAlignment="1" applyProtection="1">
      <alignment horizontal="center"/>
      <protection locked="0"/>
    </xf>
    <xf numFmtId="166" fontId="28" fillId="0" borderId="0" xfId="0" applyNumberFormat="1" applyFont="1" applyAlignment="1" applyProtection="1">
      <alignment horizontal="center"/>
      <protection locked="0"/>
    </xf>
    <xf numFmtId="0" fontId="28" fillId="0" borderId="0" xfId="0" applyFont="1" applyAlignment="1" applyProtection="1">
      <alignment horizontal="center"/>
      <protection locked="0"/>
    </xf>
    <xf numFmtId="166" fontId="56" fillId="0" borderId="0" xfId="7" applyNumberFormat="1" applyFont="1" applyProtection="1">
      <protection locked="0"/>
    </xf>
    <xf numFmtId="0" fontId="56" fillId="0" borderId="0" xfId="7" applyFont="1" applyProtection="1">
      <protection locked="0"/>
    </xf>
    <xf numFmtId="0" fontId="56" fillId="0" borderId="0" xfId="7" applyFont="1" applyAlignment="1" applyProtection="1">
      <alignment horizontal="center"/>
      <protection locked="0"/>
    </xf>
    <xf numFmtId="0" fontId="57" fillId="0" borderId="0" xfId="0" applyFont="1" applyAlignment="1" applyProtection="1">
      <alignment horizontal="center"/>
      <protection locked="0"/>
    </xf>
    <xf numFmtId="166" fontId="58" fillId="0" borderId="0" xfId="7" applyNumberFormat="1" applyFont="1" applyProtection="1">
      <protection locked="0"/>
    </xf>
    <xf numFmtId="0" fontId="58" fillId="0" borderId="0" xfId="7" applyFont="1" applyProtection="1">
      <protection locked="0"/>
    </xf>
    <xf numFmtId="166" fontId="56" fillId="0" borderId="0" xfId="7" applyNumberFormat="1" applyFont="1" applyAlignment="1" applyProtection="1">
      <alignment horizontal="center"/>
      <protection locked="0"/>
    </xf>
    <xf numFmtId="0" fontId="52" fillId="0" borderId="0" xfId="0" applyFont="1"/>
    <xf numFmtId="166" fontId="53" fillId="0" borderId="0" xfId="7" applyNumberFormat="1" applyFont="1" applyAlignment="1">
      <alignment horizontal="center"/>
    </xf>
    <xf numFmtId="0" fontId="53" fillId="0" borderId="0" xfId="7" applyFont="1"/>
    <xf numFmtId="166" fontId="53" fillId="0" borderId="0" xfId="7" applyNumberFormat="1" applyFont="1"/>
    <xf numFmtId="0" fontId="52" fillId="0" borderId="0" xfId="0" applyFont="1" applyAlignment="1">
      <alignment horizontal="center"/>
    </xf>
    <xf numFmtId="0" fontId="53" fillId="0" borderId="0" xfId="7" applyFont="1" applyAlignment="1">
      <alignment horizontal="center"/>
    </xf>
    <xf numFmtId="166" fontId="54" fillId="0" borderId="0" xfId="0" applyNumberFormat="1" applyFont="1" applyAlignment="1">
      <alignment horizontal="center"/>
    </xf>
    <xf numFmtId="2" fontId="55" fillId="0" borderId="0" xfId="0" applyNumberFormat="1" applyFont="1" applyAlignment="1">
      <alignment horizontal="center"/>
    </xf>
    <xf numFmtId="0" fontId="51" fillId="0" borderId="0" xfId="0" applyFont="1"/>
    <xf numFmtId="164" fontId="13" fillId="0" borderId="0" xfId="0" applyNumberFormat="1" applyFont="1"/>
    <xf numFmtId="0" fontId="24" fillId="0" borderId="8" xfId="0" applyFont="1" applyBorder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wrapText="1"/>
    </xf>
    <xf numFmtId="2" fontId="8" fillId="0" borderId="0" xfId="0" applyNumberFormat="1" applyFont="1" applyAlignment="1">
      <alignment horizontal="center"/>
    </xf>
    <xf numFmtId="0" fontId="36" fillId="0" borderId="0" xfId="7" applyFont="1" applyBorder="1" applyAlignment="1">
      <alignment horizontal="center" vertical="center"/>
    </xf>
    <xf numFmtId="166" fontId="16" fillId="0" borderId="0" xfId="0" applyNumberFormat="1" applyFont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0" fontId="16" fillId="0" borderId="3" xfId="0" applyFont="1" applyBorder="1"/>
    <xf numFmtId="0" fontId="8" fillId="0" borderId="0" xfId="0" applyFont="1" applyBorder="1"/>
    <xf numFmtId="2" fontId="8" fillId="0" borderId="0" xfId="0" applyNumberFormat="1" applyFont="1" applyBorder="1" applyAlignment="1">
      <alignment horizontal="center"/>
    </xf>
    <xf numFmtId="0" fontId="22" fillId="0" borderId="0" xfId="0" applyFont="1" applyBorder="1"/>
    <xf numFmtId="1" fontId="17" fillId="0" borderId="0" xfId="0" applyNumberFormat="1" applyFont="1" applyBorder="1" applyAlignment="1">
      <alignment horizontal="center"/>
    </xf>
    <xf numFmtId="2" fontId="16" fillId="0" borderId="0" xfId="0" applyNumberFormat="1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wrapText="1"/>
    </xf>
    <xf numFmtId="4" fontId="16" fillId="0" borderId="6" xfId="0" applyNumberFormat="1" applyFont="1" applyBorder="1" applyAlignment="1">
      <alignment horizontal="center"/>
    </xf>
    <xf numFmtId="0" fontId="21" fillId="0" borderId="0" xfId="0" applyFont="1" applyBorder="1" applyAlignment="1">
      <alignment wrapText="1"/>
    </xf>
    <xf numFmtId="0" fontId="61" fillId="0" borderId="0" xfId="0" applyFont="1" applyBorder="1" applyAlignment="1">
      <alignment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6" fillId="2" borderId="9" xfId="7" applyFont="1" applyFill="1" applyBorder="1" applyAlignment="1">
      <alignment horizontal="center" vertical="center"/>
    </xf>
    <xf numFmtId="0" fontId="36" fillId="2" borderId="10" xfId="7" applyFont="1" applyFill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/>
    </xf>
    <xf numFmtId="166" fontId="36" fillId="2" borderId="9" xfId="7" applyNumberFormat="1" applyFont="1" applyFill="1" applyBorder="1" applyAlignment="1">
      <alignment horizontal="center" vertical="center"/>
    </xf>
    <xf numFmtId="166" fontId="36" fillId="2" borderId="10" xfId="7" applyNumberFormat="1" applyFont="1" applyFill="1" applyBorder="1" applyAlignment="1">
      <alignment horizontal="center" vertical="center"/>
    </xf>
    <xf numFmtId="166" fontId="36" fillId="2" borderId="11" xfId="7" applyNumberFormat="1" applyFont="1" applyFill="1" applyBorder="1" applyAlignment="1">
      <alignment horizontal="center" vertical="center"/>
    </xf>
    <xf numFmtId="0" fontId="34" fillId="0" borderId="0" xfId="7" applyFont="1" applyAlignment="1">
      <alignment horizontal="center"/>
    </xf>
    <xf numFmtId="0" fontId="33" fillId="2" borderId="9" xfId="7" applyFont="1" applyFill="1" applyBorder="1" applyAlignment="1">
      <alignment horizontal="center" vertical="center"/>
    </xf>
    <xf numFmtId="0" fontId="33" fillId="2" borderId="10" xfId="7" applyFont="1" applyFill="1" applyBorder="1" applyAlignment="1">
      <alignment horizontal="center" vertical="center"/>
    </xf>
    <xf numFmtId="0" fontId="33" fillId="2" borderId="11" xfId="7" applyFont="1" applyFill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</cellXfs>
  <cellStyles count="9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8" xr:uid="{00000000-0005-0000-0000-000009000000}"/>
  </cellStyles>
  <dxfs count="190"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5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561474</xdr:colOff>
      <xdr:row>6</xdr:row>
      <xdr:rowOff>176463</xdr:rowOff>
    </xdr:from>
    <xdr:to>
      <xdr:col>9</xdr:col>
      <xdr:colOff>464426</xdr:colOff>
      <xdr:row>19</xdr:row>
      <xdr:rowOff>172708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187116" y="1331495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336885</xdr:colOff>
      <xdr:row>19</xdr:row>
      <xdr:rowOff>120316</xdr:rowOff>
    </xdr:from>
    <xdr:to>
      <xdr:col>8</xdr:col>
      <xdr:colOff>550635</xdr:colOff>
      <xdr:row>21</xdr:row>
      <xdr:rowOff>119737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588169" y="3777916"/>
          <a:ext cx="4160108" cy="3844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406400</xdr:colOff>
          <xdr:row>1</xdr:row>
          <xdr:rowOff>38100</xdr:rowOff>
        </xdr:from>
        <xdr:to>
          <xdr:col>5</xdr:col>
          <xdr:colOff>952500</xdr:colOff>
          <xdr:row>3</xdr:row>
          <xdr:rowOff>76200</xdr:rowOff>
        </xdr:to>
        <xdr:sp macro="" textlink="">
          <xdr:nvSpPr>
            <xdr:cNvPr id="12289" name="SteelworkToggleButton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4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Remove Steelwork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19" zoomScale="95" zoomScaleNormal="95" workbookViewId="0">
      <selection activeCell="E63" sqref="E63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326" t="s">
        <v>25</v>
      </c>
      <c r="C24" s="327"/>
      <c r="D24" s="327"/>
      <c r="E24" s="327"/>
      <c r="F24" s="327"/>
      <c r="G24" s="327"/>
      <c r="H24" s="327"/>
      <c r="I24" s="327"/>
      <c r="J24" s="327"/>
      <c r="K24" s="328"/>
      <c r="L24" s="10"/>
    </row>
    <row r="25" spans="1:12" ht="15" customHeight="1" thickBot="1" x14ac:dyDescent="0.3">
      <c r="A25" s="8"/>
      <c r="B25" s="329"/>
      <c r="C25" s="330"/>
      <c r="D25" s="330"/>
      <c r="E25" s="330"/>
      <c r="F25" s="330"/>
      <c r="G25" s="330"/>
      <c r="H25" s="330"/>
      <c r="I25" s="330"/>
      <c r="J25" s="330"/>
      <c r="K25" s="331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326" t="s">
        <v>4</v>
      </c>
      <c r="C31" s="327"/>
      <c r="D31" s="327"/>
      <c r="E31" s="327"/>
      <c r="F31" s="327"/>
      <c r="G31" s="327"/>
      <c r="H31" s="327"/>
      <c r="I31" s="327"/>
      <c r="J31" s="327"/>
      <c r="K31" s="328"/>
      <c r="L31" s="10"/>
    </row>
    <row r="32" spans="1:12" ht="15" customHeight="1" thickBot="1" x14ac:dyDescent="0.3">
      <c r="A32" s="8"/>
      <c r="B32" s="329"/>
      <c r="C32" s="330"/>
      <c r="D32" s="330"/>
      <c r="E32" s="330"/>
      <c r="F32" s="330"/>
      <c r="G32" s="330"/>
      <c r="H32" s="330"/>
      <c r="I32" s="330"/>
      <c r="J32" s="330"/>
      <c r="K32" s="331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326" t="s">
        <v>247</v>
      </c>
      <c r="C38" s="327"/>
      <c r="D38" s="327"/>
      <c r="E38" s="327"/>
      <c r="F38" s="327"/>
      <c r="G38" s="327"/>
      <c r="H38" s="327"/>
      <c r="I38" s="327"/>
      <c r="J38" s="327"/>
      <c r="K38" s="328"/>
      <c r="L38" s="10"/>
    </row>
    <row r="39" spans="1:12" ht="15" customHeight="1" x14ac:dyDescent="0.25">
      <c r="A39" s="8"/>
      <c r="B39" s="332"/>
      <c r="C39" s="333"/>
      <c r="D39" s="333"/>
      <c r="E39" s="333"/>
      <c r="F39" s="333"/>
      <c r="G39" s="333"/>
      <c r="H39" s="333"/>
      <c r="I39" s="333"/>
      <c r="J39" s="333"/>
      <c r="K39" s="334"/>
      <c r="L39" s="10"/>
    </row>
    <row r="40" spans="1:12" ht="15" customHeight="1" x14ac:dyDescent="0.25">
      <c r="A40" s="8"/>
      <c r="B40" s="332"/>
      <c r="C40" s="333"/>
      <c r="D40" s="333"/>
      <c r="E40" s="333"/>
      <c r="F40" s="333"/>
      <c r="G40" s="333"/>
      <c r="H40" s="333"/>
      <c r="I40" s="333"/>
      <c r="J40" s="333"/>
      <c r="K40" s="334"/>
      <c r="L40" s="10"/>
    </row>
    <row r="41" spans="1:12" ht="15" customHeight="1" thickBot="1" x14ac:dyDescent="0.3">
      <c r="A41" s="8"/>
      <c r="B41" s="329"/>
      <c r="C41" s="330"/>
      <c r="D41" s="330"/>
      <c r="E41" s="330"/>
      <c r="F41" s="330"/>
      <c r="G41" s="330"/>
      <c r="H41" s="330"/>
      <c r="I41" s="330"/>
      <c r="J41" s="330"/>
      <c r="K41" s="331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326" t="s">
        <v>248</v>
      </c>
      <c r="C47" s="327"/>
      <c r="D47" s="327"/>
      <c r="E47" s="327"/>
      <c r="F47" s="327"/>
      <c r="G47" s="327"/>
      <c r="H47" s="327"/>
      <c r="I47" s="327"/>
      <c r="J47" s="327"/>
      <c r="K47" s="328"/>
      <c r="L47" s="10"/>
    </row>
    <row r="48" spans="1:12" ht="15" customHeight="1" x14ac:dyDescent="0.25">
      <c r="A48" s="8"/>
      <c r="B48" s="332"/>
      <c r="C48" s="333"/>
      <c r="D48" s="333"/>
      <c r="E48" s="333"/>
      <c r="F48" s="333"/>
      <c r="G48" s="333"/>
      <c r="H48" s="333"/>
      <c r="I48" s="333"/>
      <c r="J48" s="333"/>
      <c r="K48" s="334"/>
      <c r="L48" s="10"/>
    </row>
    <row r="49" spans="1:12" ht="15" customHeight="1" x14ac:dyDescent="0.25">
      <c r="A49" s="8"/>
      <c r="B49" s="332"/>
      <c r="C49" s="333"/>
      <c r="D49" s="333"/>
      <c r="E49" s="333"/>
      <c r="F49" s="333"/>
      <c r="G49" s="333"/>
      <c r="H49" s="333"/>
      <c r="I49" s="333"/>
      <c r="J49" s="333"/>
      <c r="K49" s="334"/>
      <c r="L49" s="10"/>
    </row>
    <row r="50" spans="1:12" ht="15" customHeight="1" thickBot="1" x14ac:dyDescent="0.3">
      <c r="A50" s="8"/>
      <c r="B50" s="329"/>
      <c r="C50" s="330"/>
      <c r="D50" s="330"/>
      <c r="E50" s="330"/>
      <c r="F50" s="330"/>
      <c r="G50" s="330"/>
      <c r="H50" s="330"/>
      <c r="I50" s="330"/>
      <c r="J50" s="330"/>
      <c r="K50" s="331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335" t="s">
        <v>249</v>
      </c>
      <c r="C57" s="327"/>
      <c r="D57" s="327"/>
      <c r="E57" s="327"/>
      <c r="F57" s="327"/>
      <c r="G57" s="327"/>
      <c r="H57" s="327"/>
      <c r="I57" s="327"/>
      <c r="J57" s="327"/>
      <c r="K57" s="328"/>
      <c r="L57" s="10"/>
    </row>
    <row r="58" spans="1:12" ht="15" customHeight="1" thickBot="1" x14ac:dyDescent="0.3">
      <c r="A58" s="8"/>
      <c r="B58" s="329"/>
      <c r="C58" s="330"/>
      <c r="D58" s="330"/>
      <c r="E58" s="330"/>
      <c r="F58" s="330"/>
      <c r="G58" s="330"/>
      <c r="H58" s="330"/>
      <c r="I58" s="330"/>
      <c r="J58" s="330"/>
      <c r="K58" s="331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topLeftCell="A34" zoomScale="95" zoomScaleNormal="95" workbookViewId="0">
      <selection activeCell="B3" sqref="B3"/>
    </sheetView>
  </sheetViews>
  <sheetFormatPr defaultColWidth="9.08984375" defaultRowHeight="15.5" x14ac:dyDescent="0.35"/>
  <cols>
    <col min="1" max="1" width="9.08984375" style="89" customWidth="1"/>
    <col min="2" max="2" width="126.453125" style="39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PROJECT:EXTERNAL AND INTERNAL REFURBISHMENT OF EXISTING APARTMENTS</v>
      </c>
    </row>
    <row r="3" spans="1:2" ht="15" customHeight="1" x14ac:dyDescent="0.35">
      <c r="B3" s="51" t="str">
        <f>Cover!B57</f>
        <v>DATE: 29TH OCTOBER 2025</v>
      </c>
    </row>
    <row r="4" spans="1:2" ht="15" customHeight="1" x14ac:dyDescent="0.35">
      <c r="B4" s="3"/>
    </row>
    <row r="5" spans="1:2" ht="15" customHeight="1" thickBot="1" x14ac:dyDescent="0.4">
      <c r="B5" s="233"/>
    </row>
    <row r="6" spans="1:2" ht="21.25" customHeight="1" thickBot="1" x14ac:dyDescent="0.3">
      <c r="A6" s="100"/>
      <c r="B6" s="101" t="s">
        <v>5</v>
      </c>
    </row>
    <row r="7" spans="1:2" ht="15" customHeight="1" x14ac:dyDescent="0.35">
      <c r="A7" s="102"/>
      <c r="B7" s="38"/>
    </row>
    <row r="8" spans="1:2" s="40" customFormat="1" ht="15" customHeight="1" x14ac:dyDescent="0.35">
      <c r="A8" s="102">
        <v>1</v>
      </c>
      <c r="B8" s="39" t="s">
        <v>6</v>
      </c>
    </row>
    <row r="9" spans="1:2" s="40" customFormat="1" ht="15" customHeight="1" x14ac:dyDescent="0.35">
      <c r="A9" s="102"/>
      <c r="B9" s="39"/>
    </row>
    <row r="10" spans="1:2" s="40" customFormat="1" ht="15" customHeight="1" x14ac:dyDescent="0.35">
      <c r="A10" s="87">
        <v>1.1000000000000001</v>
      </c>
      <c r="B10" s="21" t="s">
        <v>47</v>
      </c>
    </row>
    <row r="11" spans="1:2" s="40" customFormat="1" ht="15" customHeight="1" x14ac:dyDescent="0.35">
      <c r="A11" s="87">
        <f>+A10+0.1</f>
        <v>1.2000000000000002</v>
      </c>
      <c r="B11" s="21" t="s">
        <v>26</v>
      </c>
    </row>
    <row r="12" spans="1:2" s="40" customFormat="1" ht="15" customHeight="1" x14ac:dyDescent="0.35">
      <c r="A12" s="87">
        <f t="shared" ref="A12:A18" si="0">+A11+0.1</f>
        <v>1.3000000000000003</v>
      </c>
      <c r="B12" s="88" t="s">
        <v>74</v>
      </c>
    </row>
    <row r="13" spans="1:2" s="40" customFormat="1" ht="15" customHeight="1" x14ac:dyDescent="0.35">
      <c r="A13" s="89">
        <f t="shared" si="0"/>
        <v>1.4000000000000004</v>
      </c>
      <c r="B13" s="56" t="s">
        <v>128</v>
      </c>
    </row>
    <row r="14" spans="1:2" s="40" customFormat="1" ht="15" customHeight="1" x14ac:dyDescent="0.35">
      <c r="A14" s="87">
        <f t="shared" si="0"/>
        <v>1.5000000000000004</v>
      </c>
      <c r="B14" s="21" t="s">
        <v>27</v>
      </c>
    </row>
    <row r="15" spans="1:2" s="40" customFormat="1" ht="15" customHeight="1" x14ac:dyDescent="0.35">
      <c r="A15" s="89">
        <f t="shared" si="0"/>
        <v>1.6000000000000005</v>
      </c>
      <c r="B15" s="56" t="s">
        <v>75</v>
      </c>
    </row>
    <row r="16" spans="1:2" s="40" customFormat="1" ht="15" customHeight="1" x14ac:dyDescent="0.35">
      <c r="A16" s="87">
        <f t="shared" si="0"/>
        <v>1.7000000000000006</v>
      </c>
      <c r="B16" s="39" t="s">
        <v>119</v>
      </c>
    </row>
    <row r="17" spans="1:2" s="40" customFormat="1" ht="15" customHeight="1" x14ac:dyDescent="0.35">
      <c r="A17" s="87">
        <f t="shared" si="0"/>
        <v>1.8000000000000007</v>
      </c>
      <c r="B17" s="42" t="s">
        <v>76</v>
      </c>
    </row>
    <row r="18" spans="1:2" s="40" customFormat="1" ht="15" customHeight="1" x14ac:dyDescent="0.35">
      <c r="A18" s="87">
        <f t="shared" si="0"/>
        <v>1.9000000000000008</v>
      </c>
      <c r="B18" s="38" t="s">
        <v>120</v>
      </c>
    </row>
    <row r="19" spans="1:2" s="40" customFormat="1" ht="15" customHeight="1" x14ac:dyDescent="0.35">
      <c r="A19" s="90">
        <v>1.1000000000000001</v>
      </c>
      <c r="B19" s="44" t="s">
        <v>46</v>
      </c>
    </row>
    <row r="20" spans="1:2" s="40" customFormat="1" ht="15" customHeight="1" x14ac:dyDescent="0.35">
      <c r="A20" s="90">
        <v>1.1100000000000001</v>
      </c>
      <c r="B20" s="39" t="s">
        <v>77</v>
      </c>
    </row>
    <row r="21" spans="1:2" s="40" customFormat="1" ht="15" customHeight="1" x14ac:dyDescent="0.35">
      <c r="A21" s="90">
        <v>1.1200000000000001</v>
      </c>
      <c r="B21" s="38" t="s">
        <v>48</v>
      </c>
    </row>
    <row r="22" spans="1:2" s="40" customFormat="1" ht="15" customHeight="1" x14ac:dyDescent="0.35">
      <c r="A22" s="103"/>
      <c r="B22" s="38"/>
    </row>
    <row r="23" spans="1:2" s="40" customFormat="1" ht="15" customHeight="1" x14ac:dyDescent="0.35">
      <c r="A23" s="102">
        <v>2</v>
      </c>
      <c r="B23" s="38" t="s">
        <v>118</v>
      </c>
    </row>
    <row r="24" spans="1:2" s="40" customFormat="1" ht="15" customHeight="1" x14ac:dyDescent="0.35">
      <c r="A24" s="102"/>
      <c r="B24" s="38"/>
    </row>
    <row r="25" spans="1:2" s="40" customFormat="1" ht="15" customHeight="1" x14ac:dyDescent="0.35">
      <c r="A25" s="87">
        <v>2.1</v>
      </c>
      <c r="B25" s="38" t="s">
        <v>82</v>
      </c>
    </row>
    <row r="26" spans="1:2" s="40" customFormat="1" ht="15" customHeight="1" x14ac:dyDescent="0.35">
      <c r="A26" s="102">
        <v>2.2000000000000002</v>
      </c>
      <c r="B26" s="38" t="s">
        <v>83</v>
      </c>
    </row>
    <row r="27" spans="1:2" s="40" customFormat="1" ht="15" customHeight="1" x14ac:dyDescent="0.35">
      <c r="A27" s="102">
        <v>2.2999999999999998</v>
      </c>
      <c r="B27" s="42" t="s">
        <v>84</v>
      </c>
    </row>
    <row r="28" spans="1:2" s="40" customFormat="1" ht="15" customHeight="1" x14ac:dyDescent="0.35">
      <c r="A28" s="102">
        <v>2.4</v>
      </c>
      <c r="B28" s="104" t="s">
        <v>85</v>
      </c>
    </row>
    <row r="29" spans="1:2" s="40" customFormat="1" ht="15" customHeight="1" x14ac:dyDescent="0.35">
      <c r="A29" s="102">
        <v>2.5</v>
      </c>
      <c r="B29" s="43" t="s">
        <v>86</v>
      </c>
    </row>
    <row r="30" spans="1:2" s="40" customFormat="1" ht="15" customHeight="1" x14ac:dyDescent="0.35">
      <c r="A30" s="102">
        <v>2.6</v>
      </c>
      <c r="B30" s="43" t="s">
        <v>124</v>
      </c>
    </row>
    <row r="31" spans="1:2" s="40" customFormat="1" ht="15" customHeight="1" x14ac:dyDescent="0.35">
      <c r="A31" s="102">
        <v>2.7</v>
      </c>
      <c r="B31" s="43" t="s">
        <v>121</v>
      </c>
    </row>
    <row r="32" spans="1:2" s="40" customFormat="1" ht="15" customHeight="1" x14ac:dyDescent="0.35">
      <c r="A32" s="102">
        <v>2.8</v>
      </c>
      <c r="B32" s="43" t="s">
        <v>122</v>
      </c>
    </row>
    <row r="33" spans="1:2" s="40" customFormat="1" ht="15" customHeight="1" x14ac:dyDescent="0.35">
      <c r="A33" s="102">
        <v>2.9</v>
      </c>
      <c r="B33" s="43" t="s">
        <v>123</v>
      </c>
    </row>
    <row r="34" spans="1:2" s="40" customFormat="1" ht="15" customHeight="1" x14ac:dyDescent="0.35">
      <c r="A34" s="103"/>
      <c r="B34" s="39"/>
    </row>
    <row r="35" spans="1:2" s="40" customFormat="1" ht="15" customHeight="1" x14ac:dyDescent="0.35">
      <c r="A35" s="102">
        <v>3</v>
      </c>
      <c r="B35" s="42" t="s">
        <v>7</v>
      </c>
    </row>
    <row r="36" spans="1:2" s="40" customFormat="1" ht="15" customHeight="1" x14ac:dyDescent="0.35">
      <c r="A36" s="102"/>
      <c r="B36" s="39"/>
    </row>
    <row r="37" spans="1:2" s="40" customFormat="1" ht="15" customHeight="1" x14ac:dyDescent="0.35">
      <c r="A37" s="102">
        <v>3.1</v>
      </c>
      <c r="B37" s="39" t="s">
        <v>87</v>
      </c>
    </row>
    <row r="38" spans="1:2" s="40" customFormat="1" ht="15" customHeight="1" x14ac:dyDescent="0.35">
      <c r="A38" s="102">
        <v>3.2</v>
      </c>
      <c r="B38" s="39" t="s">
        <v>88</v>
      </c>
    </row>
    <row r="39" spans="1:2" s="40" customFormat="1" ht="15" customHeight="1" x14ac:dyDescent="0.35">
      <c r="A39" s="102">
        <v>3.3</v>
      </c>
      <c r="B39" s="39" t="s">
        <v>54</v>
      </c>
    </row>
    <row r="40" spans="1:2" s="40" customFormat="1" ht="15" customHeight="1" x14ac:dyDescent="0.35">
      <c r="A40" s="102">
        <v>3.4</v>
      </c>
      <c r="B40" s="39" t="s">
        <v>49</v>
      </c>
    </row>
    <row r="41" spans="1:2" s="40" customFormat="1" ht="15" customHeight="1" x14ac:dyDescent="0.35">
      <c r="A41" s="102">
        <v>3.5</v>
      </c>
      <c r="B41" s="39" t="s">
        <v>50</v>
      </c>
    </row>
    <row r="42" spans="1:2" s="40" customFormat="1" ht="15" customHeight="1" x14ac:dyDescent="0.35">
      <c r="A42" s="102">
        <v>3.6</v>
      </c>
      <c r="B42" s="39" t="s">
        <v>51</v>
      </c>
    </row>
    <row r="43" spans="1:2" s="40" customFormat="1" ht="15" customHeight="1" x14ac:dyDescent="0.35">
      <c r="A43" s="102">
        <v>3.7</v>
      </c>
      <c r="B43" s="39" t="s">
        <v>52</v>
      </c>
    </row>
    <row r="44" spans="1:2" s="40" customFormat="1" ht="15" customHeight="1" x14ac:dyDescent="0.35">
      <c r="A44" s="102">
        <v>3.8</v>
      </c>
      <c r="B44" s="44" t="s">
        <v>53</v>
      </c>
    </row>
    <row r="45" spans="1:2" s="40" customFormat="1" ht="15" customHeight="1" x14ac:dyDescent="0.35">
      <c r="A45" s="102">
        <v>3.9</v>
      </c>
      <c r="B45" s="44" t="s">
        <v>125</v>
      </c>
    </row>
    <row r="46" spans="1:2" s="40" customFormat="1" ht="15" customHeight="1" x14ac:dyDescent="0.35">
      <c r="A46" s="103">
        <v>3.1</v>
      </c>
      <c r="B46" s="44" t="s">
        <v>55</v>
      </c>
    </row>
    <row r="47" spans="1:2" s="40" customFormat="1" ht="15" customHeight="1" x14ac:dyDescent="0.35">
      <c r="A47" s="102">
        <v>3.11</v>
      </c>
      <c r="B47" s="44" t="s">
        <v>56</v>
      </c>
    </row>
    <row r="48" spans="1:2" s="40" customFormat="1" ht="15" customHeight="1" x14ac:dyDescent="0.35">
      <c r="A48" s="102">
        <v>3.12</v>
      </c>
      <c r="B48" s="44" t="s">
        <v>89</v>
      </c>
    </row>
    <row r="49" spans="1:2" s="40" customFormat="1" ht="15" customHeight="1" x14ac:dyDescent="0.35">
      <c r="A49" s="102">
        <v>3.13</v>
      </c>
      <c r="B49" s="44" t="s">
        <v>163</v>
      </c>
    </row>
    <row r="50" spans="1:2" s="40" customFormat="1" ht="15" customHeight="1" x14ac:dyDescent="0.35">
      <c r="A50" s="102">
        <v>3.14</v>
      </c>
      <c r="B50" s="44" t="s">
        <v>171</v>
      </c>
    </row>
    <row r="51" spans="1:2" s="40" customFormat="1" ht="15" customHeight="1" x14ac:dyDescent="0.35">
      <c r="A51" s="102">
        <v>3.15</v>
      </c>
      <c r="B51" s="44" t="s">
        <v>172</v>
      </c>
    </row>
    <row r="52" spans="1:2" s="40" customFormat="1" ht="15" customHeight="1" x14ac:dyDescent="0.35">
      <c r="A52" s="102"/>
      <c r="B52" s="44"/>
    </row>
    <row r="53" spans="1:2" s="40" customFormat="1" ht="15" customHeight="1" x14ac:dyDescent="0.35">
      <c r="A53" s="102">
        <v>4</v>
      </c>
      <c r="B53" s="42" t="s">
        <v>90</v>
      </c>
    </row>
    <row r="54" spans="1:2" s="40" customFormat="1" ht="15" customHeight="1" x14ac:dyDescent="0.35">
      <c r="A54" s="102"/>
      <c r="B54" s="44"/>
    </row>
    <row r="55" spans="1:2" s="40" customFormat="1" ht="15" customHeight="1" x14ac:dyDescent="0.35">
      <c r="A55" s="102">
        <v>4.0999999999999996</v>
      </c>
      <c r="B55" s="38" t="s">
        <v>91</v>
      </c>
    </row>
    <row r="56" spans="1:2" s="40" customFormat="1" ht="15" customHeight="1" x14ac:dyDescent="0.35">
      <c r="A56" s="102">
        <v>4.2</v>
      </c>
      <c r="B56" s="42" t="s">
        <v>92</v>
      </c>
    </row>
    <row r="57" spans="1:2" s="40" customFormat="1" ht="15" customHeight="1" x14ac:dyDescent="0.35">
      <c r="A57" s="102">
        <v>4.3</v>
      </c>
      <c r="B57" s="42" t="s">
        <v>93</v>
      </c>
    </row>
    <row r="58" spans="1:2" s="40" customFormat="1" ht="15" customHeight="1" x14ac:dyDescent="0.35">
      <c r="A58" s="102">
        <v>4.4000000000000004</v>
      </c>
      <c r="B58" s="42" t="s">
        <v>94</v>
      </c>
    </row>
    <row r="59" spans="1:2" s="40" customFormat="1" ht="15" customHeight="1" x14ac:dyDescent="0.35">
      <c r="A59" s="102">
        <v>4.5</v>
      </c>
      <c r="B59" s="42" t="s">
        <v>127</v>
      </c>
    </row>
    <row r="60" spans="1:2" s="40" customFormat="1" ht="15" customHeight="1" x14ac:dyDescent="0.35">
      <c r="A60" s="102">
        <v>4.5999999999999996</v>
      </c>
      <c r="B60" s="39" t="s">
        <v>95</v>
      </c>
    </row>
    <row r="61" spans="1:2" s="40" customFormat="1" ht="15" customHeight="1" x14ac:dyDescent="0.35">
      <c r="A61" s="102">
        <v>4.7</v>
      </c>
      <c r="B61" s="44" t="s">
        <v>126</v>
      </c>
    </row>
    <row r="62" spans="1:2" s="40" customFormat="1" ht="15" customHeight="1" x14ac:dyDescent="0.35">
      <c r="A62" s="102">
        <v>4.8</v>
      </c>
      <c r="B62" s="44" t="s">
        <v>96</v>
      </c>
    </row>
    <row r="63" spans="1:2" s="40" customFormat="1" ht="15" customHeight="1" x14ac:dyDescent="0.35">
      <c r="A63" s="89">
        <v>4.9000000000000004</v>
      </c>
      <c r="B63" s="44" t="s">
        <v>97</v>
      </c>
    </row>
    <row r="64" spans="1:2" s="40" customFormat="1" ht="15" customHeight="1" x14ac:dyDescent="0.35">
      <c r="A64" s="92">
        <v>4.0999999999999996</v>
      </c>
      <c r="B64" s="44" t="s">
        <v>115</v>
      </c>
    </row>
    <row r="65" spans="1:2" s="40" customFormat="1" ht="15" customHeight="1" x14ac:dyDescent="0.35">
      <c r="A65" s="92">
        <v>4.1100000000000003</v>
      </c>
      <c r="B65" s="39" t="s">
        <v>116</v>
      </c>
    </row>
    <row r="66" spans="1:2" x14ac:dyDescent="0.35">
      <c r="A66" s="89">
        <v>4.12</v>
      </c>
      <c r="B66" s="39" t="s">
        <v>162</v>
      </c>
    </row>
    <row r="67" spans="1:2" x14ac:dyDescent="0.35">
      <c r="A67" s="89">
        <v>4.13</v>
      </c>
      <c r="B67" s="39" t="s">
        <v>166</v>
      </c>
    </row>
    <row r="68" spans="1:2" x14ac:dyDescent="0.35">
      <c r="A68" s="89">
        <v>4.1399999999999997</v>
      </c>
      <c r="B68" s="39" t="s">
        <v>167</v>
      </c>
    </row>
    <row r="69" spans="1:2" x14ac:dyDescent="0.35">
      <c r="A69" s="89">
        <v>4.1500000000000004</v>
      </c>
      <c r="B69" s="39" t="s">
        <v>168</v>
      </c>
    </row>
    <row r="70" spans="1:2" x14ac:dyDescent="0.35">
      <c r="A70" s="89">
        <v>4.16</v>
      </c>
      <c r="B70" s="39" t="s">
        <v>175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95" zoomScaleNormal="95" workbookViewId="0">
      <selection activeCell="B16" sqref="B16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8"/>
      <c r="B1" s="39"/>
    </row>
    <row r="2" spans="1:2" ht="18.5" x14ac:dyDescent="0.45">
      <c r="A2" s="94"/>
      <c r="B2" s="37" t="str">
        <f>+Cover!B47</f>
        <v>PROJECT:EXTERNAL AND INTERNAL REFURBISHMENT OF EXISTING APARTMENTS</v>
      </c>
    </row>
    <row r="3" spans="1:2" ht="18.5" x14ac:dyDescent="0.45">
      <c r="A3" s="94"/>
      <c r="B3" s="99" t="str">
        <f>+Cover!B57</f>
        <v>DATE: 29TH OCTOBER 2025</v>
      </c>
    </row>
    <row r="4" spans="1:2" ht="19" thickBot="1" x14ac:dyDescent="0.5">
      <c r="A4" s="94"/>
      <c r="B4" s="95"/>
    </row>
    <row r="5" spans="1:2" s="91" customFormat="1" ht="20" customHeight="1" thickBot="1" x14ac:dyDescent="0.4">
      <c r="A5" s="96"/>
      <c r="B5" s="97" t="s">
        <v>81</v>
      </c>
    </row>
    <row r="6" spans="1:2" ht="15.5" x14ac:dyDescent="0.35">
      <c r="A6" s="38"/>
      <c r="B6" s="38"/>
    </row>
    <row r="7" spans="1:2" ht="15.5" x14ac:dyDescent="0.35">
      <c r="A7" s="41"/>
      <c r="B7" s="45" t="s">
        <v>117</v>
      </c>
    </row>
    <row r="8" spans="1:2" ht="15.5" x14ac:dyDescent="0.35">
      <c r="A8" s="41"/>
      <c r="B8" s="45"/>
    </row>
    <row r="9" spans="1:2" ht="15.5" x14ac:dyDescent="0.35">
      <c r="A9" s="41"/>
      <c r="B9" s="39" t="s">
        <v>152</v>
      </c>
    </row>
    <row r="10" spans="1:2" ht="15.5" x14ac:dyDescent="0.35">
      <c r="A10" s="41"/>
      <c r="B10" s="39"/>
    </row>
    <row r="11" spans="1:2" ht="15.5" x14ac:dyDescent="0.35">
      <c r="A11" s="41"/>
      <c r="B11" s="39" t="s">
        <v>156</v>
      </c>
    </row>
    <row r="12" spans="1:2" ht="15.5" x14ac:dyDescent="0.35">
      <c r="A12" s="41"/>
      <c r="B12" s="98" t="s">
        <v>157</v>
      </c>
    </row>
    <row r="13" spans="1:2" ht="15.5" x14ac:dyDescent="0.35">
      <c r="A13" s="41"/>
      <c r="B13" s="98" t="s">
        <v>158</v>
      </c>
    </row>
    <row r="14" spans="1:2" ht="15.5" x14ac:dyDescent="0.35">
      <c r="A14" s="41"/>
      <c r="B14" s="98" t="s">
        <v>159</v>
      </c>
    </row>
    <row r="15" spans="1:2" ht="15.5" x14ac:dyDescent="0.35">
      <c r="A15" s="41"/>
      <c r="B15" s="98" t="s">
        <v>160</v>
      </c>
    </row>
    <row r="16" spans="1:2" ht="15.5" x14ac:dyDescent="0.35">
      <c r="A16" s="41"/>
      <c r="B16" s="98" t="s">
        <v>161</v>
      </c>
    </row>
    <row r="17" spans="1:2" ht="15.5" x14ac:dyDescent="0.35">
      <c r="A17" s="41"/>
      <c r="B17" s="98"/>
    </row>
    <row r="18" spans="1:2" ht="15.5" x14ac:dyDescent="0.35">
      <c r="A18" s="41"/>
      <c r="B18" s="98"/>
    </row>
    <row r="19" spans="1:2" ht="15.5" x14ac:dyDescent="0.35">
      <c r="A19" s="41"/>
      <c r="B19" s="98"/>
    </row>
    <row r="20" spans="1:2" ht="15.5" x14ac:dyDescent="0.35">
      <c r="A20" s="41"/>
      <c r="B20" s="98"/>
    </row>
    <row r="21" spans="1:2" ht="15.5" x14ac:dyDescent="0.35">
      <c r="A21" s="41"/>
      <c r="B21" s="98"/>
    </row>
    <row r="22" spans="1:2" ht="15.5" x14ac:dyDescent="0.35">
      <c r="A22" s="41"/>
      <c r="B22" s="98"/>
    </row>
    <row r="23" spans="1:2" ht="15.5" x14ac:dyDescent="0.35">
      <c r="A23" s="41"/>
      <c r="B23" s="98"/>
    </row>
    <row r="24" spans="1:2" ht="15.5" x14ac:dyDescent="0.35">
      <c r="A24" s="41"/>
      <c r="B24" s="98"/>
    </row>
    <row r="25" spans="1:2" ht="15.5" x14ac:dyDescent="0.35">
      <c r="A25" s="41"/>
      <c r="B25" s="98"/>
    </row>
    <row r="26" spans="1:2" ht="15.5" x14ac:dyDescent="0.35">
      <c r="A26" s="41"/>
      <c r="B26" s="98"/>
    </row>
    <row r="27" spans="1:2" ht="15.5" x14ac:dyDescent="0.35">
      <c r="A27" s="41"/>
      <c r="B27" s="98"/>
    </row>
    <row r="28" spans="1:2" ht="15.5" x14ac:dyDescent="0.35">
      <c r="A28" s="41"/>
      <c r="B28" s="98"/>
    </row>
    <row r="29" spans="1:2" ht="15.5" x14ac:dyDescent="0.35">
      <c r="A29" s="41"/>
      <c r="B29" s="98"/>
    </row>
    <row r="30" spans="1:2" ht="15.5" x14ac:dyDescent="0.35">
      <c r="A30" s="41"/>
      <c r="B30" s="98"/>
    </row>
    <row r="31" spans="1:2" ht="15.5" x14ac:dyDescent="0.35">
      <c r="A31" s="41"/>
      <c r="B31" s="98"/>
    </row>
    <row r="32" spans="1:2" ht="15.5" x14ac:dyDescent="0.35">
      <c r="A32" s="41"/>
      <c r="B32" s="98"/>
    </row>
    <row r="33" spans="1:2" ht="15.5" x14ac:dyDescent="0.35">
      <c r="A33" s="41"/>
      <c r="B33" s="98"/>
    </row>
    <row r="34" spans="1:2" ht="15.5" x14ac:dyDescent="0.35">
      <c r="A34" s="41"/>
      <c r="B34" s="98"/>
    </row>
    <row r="35" spans="1:2" ht="15.5" x14ac:dyDescent="0.35">
      <c r="A35" s="41"/>
      <c r="B35" s="98"/>
    </row>
    <row r="36" spans="1:2" ht="15.5" x14ac:dyDescent="0.35">
      <c r="A36" s="41"/>
      <c r="B36" s="98"/>
    </row>
    <row r="37" spans="1:2" ht="15.5" x14ac:dyDescent="0.35">
      <c r="A37" s="41"/>
      <c r="B37" s="98"/>
    </row>
    <row r="38" spans="1:2" ht="15.5" x14ac:dyDescent="0.35">
      <c r="A38" s="41"/>
      <c r="B38" s="98"/>
    </row>
    <row r="39" spans="1:2" ht="15.5" x14ac:dyDescent="0.35">
      <c r="A39" s="41"/>
      <c r="B39" s="98"/>
    </row>
    <row r="40" spans="1:2" ht="15.5" x14ac:dyDescent="0.35">
      <c r="A40" s="41"/>
      <c r="B40" s="98"/>
    </row>
    <row r="41" spans="1:2" ht="15.5" x14ac:dyDescent="0.35">
      <c r="A41" s="41"/>
      <c r="B41" s="98"/>
    </row>
    <row r="42" spans="1:2" ht="15.5" x14ac:dyDescent="0.35">
      <c r="A42" s="41"/>
      <c r="B42" s="98"/>
    </row>
    <row r="43" spans="1:2" ht="15.5" x14ac:dyDescent="0.35">
      <c r="A43" s="41"/>
      <c r="B43" s="98"/>
    </row>
    <row r="44" spans="1:2" ht="15.5" x14ac:dyDescent="0.35">
      <c r="A44" s="41"/>
      <c r="B44" s="98"/>
    </row>
    <row r="45" spans="1:2" ht="15.5" x14ac:dyDescent="0.35">
      <c r="A45" s="41"/>
      <c r="B45" s="98"/>
    </row>
    <row r="46" spans="1:2" ht="15.5" x14ac:dyDescent="0.35">
      <c r="A46" s="41"/>
      <c r="B46" s="98"/>
    </row>
    <row r="47" spans="1:2" ht="15.5" x14ac:dyDescent="0.35">
      <c r="A47" s="41"/>
      <c r="B47" s="98"/>
    </row>
    <row r="48" spans="1:2" ht="15.5" x14ac:dyDescent="0.35">
      <c r="A48" s="41"/>
      <c r="B48" s="98"/>
    </row>
    <row r="49" spans="1:2" ht="15.5" x14ac:dyDescent="0.35">
      <c r="A49" s="41"/>
      <c r="B49" s="98"/>
    </row>
    <row r="50" spans="1:2" ht="15.5" x14ac:dyDescent="0.35">
      <c r="A50" s="41"/>
      <c r="B50" s="98"/>
    </row>
    <row r="51" spans="1:2" ht="15.5" x14ac:dyDescent="0.35">
      <c r="A51" s="41"/>
      <c r="B51" s="98"/>
    </row>
    <row r="52" spans="1:2" ht="15.5" x14ac:dyDescent="0.35">
      <c r="A52" s="41"/>
      <c r="B52" s="98"/>
    </row>
    <row r="53" spans="1:2" ht="15.5" x14ac:dyDescent="0.35">
      <c r="A53" s="41"/>
      <c r="B53" s="98"/>
    </row>
    <row r="54" spans="1:2" ht="15.5" x14ac:dyDescent="0.35">
      <c r="A54" s="41"/>
      <c r="B54" s="98"/>
    </row>
    <row r="55" spans="1:2" ht="15.5" x14ac:dyDescent="0.35">
      <c r="A55" s="41"/>
      <c r="B55" s="98"/>
    </row>
    <row r="56" spans="1:2" ht="15.5" x14ac:dyDescent="0.35">
      <c r="A56" s="41"/>
      <c r="B56" s="98"/>
    </row>
    <row r="57" spans="1:2" ht="15.5" x14ac:dyDescent="0.35">
      <c r="A57" s="41"/>
      <c r="B57" s="98"/>
    </row>
    <row r="58" spans="1:2" ht="15.5" x14ac:dyDescent="0.35">
      <c r="A58" s="41"/>
      <c r="B58" s="98"/>
    </row>
    <row r="59" spans="1:2" ht="15.5" x14ac:dyDescent="0.35">
      <c r="A59" s="41"/>
      <c r="B59" s="98"/>
    </row>
    <row r="60" spans="1:2" ht="15.5" x14ac:dyDescent="0.35">
      <c r="A60" s="41"/>
      <c r="B60" s="98"/>
    </row>
    <row r="61" spans="1:2" ht="15.5" x14ac:dyDescent="0.35">
      <c r="A61" s="41"/>
      <c r="B61" s="98"/>
    </row>
    <row r="62" spans="1:2" ht="15.5" x14ac:dyDescent="0.35">
      <c r="A62" s="41"/>
      <c r="B62" s="98"/>
    </row>
    <row r="63" spans="1:2" ht="15.5" x14ac:dyDescent="0.35">
      <c r="A63" s="41"/>
      <c r="B63" s="98"/>
    </row>
    <row r="64" spans="1:2" ht="15.5" x14ac:dyDescent="0.35">
      <c r="A64" s="41"/>
      <c r="B64" s="98"/>
    </row>
    <row r="65" spans="1:2" ht="15.5" x14ac:dyDescent="0.35">
      <c r="A65" s="41"/>
      <c r="B65" s="98"/>
    </row>
    <row r="66" spans="1:2" ht="15.5" x14ac:dyDescent="0.35">
      <c r="A66" s="41"/>
      <c r="B66" s="98"/>
    </row>
    <row r="67" spans="1:2" ht="15.5" x14ac:dyDescent="0.35">
      <c r="A67" s="41"/>
      <c r="B67" s="98"/>
    </row>
    <row r="68" spans="1:2" ht="15.5" x14ac:dyDescent="0.35">
      <c r="A68" s="41"/>
      <c r="B68" s="98"/>
    </row>
    <row r="69" spans="1:2" ht="15.5" x14ac:dyDescent="0.35">
      <c r="A69" s="41"/>
      <c r="B69" s="98"/>
    </row>
    <row r="70" spans="1:2" ht="15.5" x14ac:dyDescent="0.35">
      <c r="A70" s="41"/>
      <c r="B70" s="98"/>
    </row>
    <row r="71" spans="1:2" ht="15.5" x14ac:dyDescent="0.35">
      <c r="A71" s="41"/>
      <c r="B71" s="98"/>
    </row>
    <row r="72" spans="1:2" ht="15.5" x14ac:dyDescent="0.35">
      <c r="A72" s="41"/>
      <c r="B72" s="98"/>
    </row>
    <row r="73" spans="1:2" ht="15.5" x14ac:dyDescent="0.35">
      <c r="A73" s="41"/>
      <c r="B73" s="98"/>
    </row>
    <row r="74" spans="1:2" ht="15.5" x14ac:dyDescent="0.35">
      <c r="A74" s="41"/>
      <c r="B74" s="39"/>
    </row>
    <row r="75" spans="1:2" ht="15.5" x14ac:dyDescent="0.35">
      <c r="A75" s="38"/>
      <c r="B75" s="39"/>
    </row>
    <row r="76" spans="1:2" ht="15.5" x14ac:dyDescent="0.35">
      <c r="A76" s="38"/>
      <c r="B76" s="39"/>
    </row>
    <row r="77" spans="1:2" ht="15.5" x14ac:dyDescent="0.35">
      <c r="A77" s="38"/>
      <c r="B77" s="39"/>
    </row>
    <row r="78" spans="1:2" ht="15.5" x14ac:dyDescent="0.35">
      <c r="A78" s="38"/>
      <c r="B78" s="39"/>
    </row>
    <row r="79" spans="1:2" ht="15.5" x14ac:dyDescent="0.35">
      <c r="A79" s="38"/>
      <c r="B79" s="39"/>
    </row>
    <row r="80" spans="1:2" ht="15.5" x14ac:dyDescent="0.35">
      <c r="A80" s="38"/>
      <c r="B80" s="39"/>
    </row>
    <row r="81" spans="1:2" ht="15.5" x14ac:dyDescent="0.35">
      <c r="A81" s="38"/>
      <c r="B81" s="39"/>
    </row>
    <row r="82" spans="1:2" ht="15.5" x14ac:dyDescent="0.35">
      <c r="A82" s="38"/>
      <c r="B82" s="39"/>
    </row>
    <row r="83" spans="1:2" ht="15.5" x14ac:dyDescent="0.35">
      <c r="A83" s="38"/>
      <c r="B83" s="39"/>
    </row>
    <row r="84" spans="1:2" ht="15.5" x14ac:dyDescent="0.35">
      <c r="A84" s="38"/>
      <c r="B84" s="39"/>
    </row>
    <row r="85" spans="1:2" ht="15.5" x14ac:dyDescent="0.35">
      <c r="A85" s="38"/>
      <c r="B85" s="39"/>
    </row>
    <row r="86" spans="1:2" ht="15.5" x14ac:dyDescent="0.35">
      <c r="A86" s="38"/>
      <c r="B86" s="39"/>
    </row>
    <row r="87" spans="1:2" ht="15.5" x14ac:dyDescent="0.35">
      <c r="A87" s="38"/>
      <c r="B87" s="39"/>
    </row>
    <row r="88" spans="1:2" ht="15.5" x14ac:dyDescent="0.35">
      <c r="A88" s="38"/>
      <c r="B88" s="39"/>
    </row>
    <row r="89" spans="1:2" ht="15.5" x14ac:dyDescent="0.35">
      <c r="A89" s="38"/>
      <c r="B89" s="39"/>
    </row>
    <row r="90" spans="1:2" ht="15.5" x14ac:dyDescent="0.35">
      <c r="A90" s="38"/>
      <c r="B90" s="39"/>
    </row>
    <row r="91" spans="1:2" ht="15.5" x14ac:dyDescent="0.35">
      <c r="A91" s="38"/>
      <c r="B91" s="39"/>
    </row>
    <row r="92" spans="1:2" ht="15.5" x14ac:dyDescent="0.35">
      <c r="A92" s="38"/>
      <c r="B92" s="39"/>
    </row>
    <row r="93" spans="1:2" ht="15.5" x14ac:dyDescent="0.35">
      <c r="A93" s="38"/>
      <c r="B93" s="39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54"/>
  <sheetViews>
    <sheetView tabSelected="1" zoomScale="95" zoomScaleNormal="95" workbookViewId="0">
      <selection activeCell="D36" sqref="D36"/>
    </sheetView>
  </sheetViews>
  <sheetFormatPr defaultColWidth="9.08984375" defaultRowHeight="15.5" x14ac:dyDescent="0.35"/>
  <cols>
    <col min="1" max="1" width="2.36328125" style="85" customWidth="1"/>
    <col min="2" max="2" width="70.453125" style="85" customWidth="1"/>
    <col min="3" max="3" width="16.453125" style="81" customWidth="1"/>
    <col min="4" max="4" width="20.6328125" style="86" customWidth="1"/>
    <col min="5" max="5" width="12.453125" style="84" bestFit="1" customWidth="1"/>
    <col min="6" max="7" width="20.6328125" style="114" customWidth="1"/>
    <col min="8" max="9" width="20.6328125" style="214" customWidth="1"/>
    <col min="10" max="10" width="10.08984375" style="85" bestFit="1" customWidth="1"/>
    <col min="11" max="11" width="13.36328125" style="85" bestFit="1" customWidth="1"/>
    <col min="12" max="16384" width="9.08984375" style="85"/>
  </cols>
  <sheetData>
    <row r="1" spans="2:13" x14ac:dyDescent="0.35">
      <c r="B1" s="105"/>
    </row>
    <row r="2" spans="2:13" s="84" customFormat="1" x14ac:dyDescent="0.35">
      <c r="B2" s="106" t="str">
        <f>+Documents!B2</f>
        <v>PROJECT:EXTERNAL AND INTERNAL REFURBISHMENT OF EXISTING APARTMENTS</v>
      </c>
      <c r="C2" s="81"/>
      <c r="D2" s="86"/>
      <c r="F2" s="114"/>
      <c r="G2" s="114"/>
      <c r="H2" s="214"/>
      <c r="I2" s="214"/>
    </row>
    <row r="3" spans="2:13" s="84" customFormat="1" ht="16" thickBot="1" x14ac:dyDescent="0.4">
      <c r="B3" s="134" t="str">
        <f>+Documents!B3</f>
        <v>DATE: 29TH OCTOBER 2025</v>
      </c>
      <c r="C3" s="81"/>
      <c r="D3" s="86"/>
      <c r="F3" s="114"/>
      <c r="G3" s="114"/>
      <c r="H3" s="214"/>
      <c r="I3" s="214"/>
    </row>
    <row r="4" spans="2:13" s="84" customFormat="1" ht="16" thickBot="1" x14ac:dyDescent="0.4">
      <c r="B4" s="85"/>
      <c r="C4" s="81"/>
      <c r="D4" s="86"/>
      <c r="F4" s="339" t="s">
        <v>103</v>
      </c>
      <c r="G4" s="340"/>
      <c r="H4" s="340"/>
      <c r="I4" s="341"/>
    </row>
    <row r="5" spans="2:13" s="84" customFormat="1" ht="31.75" customHeight="1" thickBot="1" x14ac:dyDescent="0.4">
      <c r="B5" s="336" t="s">
        <v>98</v>
      </c>
      <c r="C5" s="337"/>
      <c r="D5" s="338"/>
      <c r="F5" s="193" t="s">
        <v>104</v>
      </c>
      <c r="G5" s="107" t="s">
        <v>105</v>
      </c>
      <c r="H5" s="107" t="s">
        <v>142</v>
      </c>
      <c r="I5" s="108" t="s">
        <v>143</v>
      </c>
      <c r="K5" s="214" t="s">
        <v>106</v>
      </c>
      <c r="L5" s="342" t="e" cm="1">
        <f t="array" aca="1" ref="L5" ca="1">CheckMissingTabs(B7:B26)</f>
        <v>#NAME?</v>
      </c>
      <c r="M5" s="342"/>
    </row>
    <row r="6" spans="2:13" x14ac:dyDescent="0.35">
      <c r="B6" s="109"/>
      <c r="D6" s="82"/>
      <c r="F6" s="176"/>
      <c r="H6" s="114"/>
      <c r="I6" s="177"/>
    </row>
    <row r="7" spans="2:13" x14ac:dyDescent="0.35">
      <c r="B7" s="109" t="s">
        <v>150</v>
      </c>
      <c r="D7" s="82">
        <f>+'Structural Steelwork'!F16</f>
        <v>0</v>
      </c>
      <c r="F7" s="220">
        <f>+'Structural Steelwork'!K16</f>
        <v>0</v>
      </c>
      <c r="G7" s="221">
        <f>+'Structural Steelwork'!L16</f>
        <v>0</v>
      </c>
      <c r="H7" s="114">
        <f>+'Structural Steelwork'!M16</f>
        <v>0</v>
      </c>
      <c r="I7" s="177">
        <f>+'Structural Steelwork'!N16</f>
        <v>0</v>
      </c>
      <c r="K7" s="114">
        <f t="shared" ref="K7" si="0">+F7+G7+I7+H7-D7</f>
        <v>0</v>
      </c>
    </row>
    <row r="8" spans="2:13" x14ac:dyDescent="0.35">
      <c r="B8" s="109"/>
      <c r="D8" s="82"/>
      <c r="F8" s="176"/>
      <c r="H8" s="114"/>
      <c r="I8" s="177"/>
      <c r="K8" s="214"/>
    </row>
    <row r="9" spans="2:13" x14ac:dyDescent="0.35">
      <c r="B9" s="109" t="s">
        <v>151</v>
      </c>
      <c r="D9" s="82">
        <f>+'Windows, Doors &amp; Rooflights'!H29</f>
        <v>0</v>
      </c>
      <c r="F9" s="220">
        <f>+'Windows, Doors &amp; Rooflights'!M29</f>
        <v>0</v>
      </c>
      <c r="G9" s="221">
        <f>+'Windows, Doors &amp; Rooflights'!N29</f>
        <v>0</v>
      </c>
      <c r="H9" s="114">
        <f>+'Windows, Doors &amp; Rooflights'!O29</f>
        <v>0</v>
      </c>
      <c r="I9" s="177">
        <f>+'Windows, Doors &amp; Rooflights'!P29</f>
        <v>0</v>
      </c>
      <c r="K9" s="114">
        <f t="shared" ref="K9" si="1">+F9+G9+I9+H9-D9</f>
        <v>0</v>
      </c>
    </row>
    <row r="10" spans="2:13" x14ac:dyDescent="0.35">
      <c r="B10" s="109"/>
      <c r="D10" s="82"/>
      <c r="F10" s="176"/>
      <c r="H10" s="114"/>
      <c r="I10" s="177"/>
      <c r="K10" s="214"/>
    </row>
    <row r="11" spans="2:13" x14ac:dyDescent="0.35">
      <c r="B11" s="109" t="s">
        <v>30</v>
      </c>
      <c r="D11" s="82">
        <f>+Partitions!F154</f>
        <v>0</v>
      </c>
      <c r="F11" s="220">
        <f>+Partitions!K154</f>
        <v>0</v>
      </c>
      <c r="G11" s="221">
        <f>+Partitions!L154</f>
        <v>0</v>
      </c>
      <c r="H11" s="114">
        <f>+Partitions!M154</f>
        <v>0</v>
      </c>
      <c r="I11" s="177">
        <f>+Partitions!N154</f>
        <v>0</v>
      </c>
      <c r="K11" s="114">
        <f t="shared" ref="K11" si="2">+F11+G11+I11+H11-D11</f>
        <v>0</v>
      </c>
    </row>
    <row r="12" spans="2:13" x14ac:dyDescent="0.35">
      <c r="B12" s="109"/>
      <c r="D12" s="82"/>
      <c r="F12" s="176"/>
      <c r="H12" s="114"/>
      <c r="I12" s="177"/>
      <c r="K12" s="214"/>
    </row>
    <row r="13" spans="2:13" x14ac:dyDescent="0.35">
      <c r="B13" s="109" t="s">
        <v>21</v>
      </c>
      <c r="D13" s="82">
        <f>+Joinery!F45</f>
        <v>0</v>
      </c>
      <c r="F13" s="220">
        <f>+Joinery!K45</f>
        <v>0</v>
      </c>
      <c r="G13" s="221">
        <f>+Joinery!L45</f>
        <v>0</v>
      </c>
      <c r="H13" s="114">
        <f>+Joinery!M45</f>
        <v>0</v>
      </c>
      <c r="I13" s="177">
        <f>+Joinery!N45</f>
        <v>0</v>
      </c>
      <c r="K13" s="114">
        <f t="shared" ref="K13" si="3">+F13+G13+I13+H13-D13</f>
        <v>0</v>
      </c>
    </row>
    <row r="14" spans="2:13" x14ac:dyDescent="0.35">
      <c r="B14" s="109"/>
      <c r="D14" s="82"/>
      <c r="F14" s="176"/>
      <c r="H14" s="114"/>
      <c r="I14" s="177"/>
      <c r="K14" s="214"/>
    </row>
    <row r="15" spans="2:13" x14ac:dyDescent="0.35">
      <c r="B15" s="109" t="s">
        <v>22</v>
      </c>
      <c r="D15" s="82">
        <f>+Decoration!F15</f>
        <v>0</v>
      </c>
      <c r="F15" s="220">
        <f>+Decoration!K15</f>
        <v>0</v>
      </c>
      <c r="G15" s="221">
        <f>+Decoration!L15</f>
        <v>0</v>
      </c>
      <c r="H15" s="114">
        <f>+Decoration!M15</f>
        <v>0</v>
      </c>
      <c r="I15" s="177">
        <f>+Decoration!N15</f>
        <v>0</v>
      </c>
      <c r="K15" s="114">
        <f t="shared" ref="K15" si="4">+F15+G15+I15+H15-D15</f>
        <v>0</v>
      </c>
    </row>
    <row r="16" spans="2:13" x14ac:dyDescent="0.35">
      <c r="B16" s="109"/>
      <c r="D16" s="82"/>
      <c r="F16" s="176"/>
      <c r="H16" s="114"/>
      <c r="I16" s="177"/>
      <c r="K16" s="214"/>
    </row>
    <row r="17" spans="2:13" x14ac:dyDescent="0.35">
      <c r="B17" s="109" t="s">
        <v>31</v>
      </c>
      <c r="D17" s="82">
        <f>+'Floor finishes'!F18</f>
        <v>0</v>
      </c>
      <c r="F17" s="220">
        <f>+'Floor finishes'!K18</f>
        <v>0</v>
      </c>
      <c r="G17" s="221">
        <f>+'Floor finishes'!L18</f>
        <v>0</v>
      </c>
      <c r="H17" s="114">
        <f>+'Floor finishes'!M18</f>
        <v>0</v>
      </c>
      <c r="I17" s="177">
        <f>+'Floor finishes'!N18</f>
        <v>0</v>
      </c>
      <c r="K17" s="114">
        <f t="shared" ref="K17" si="5">+F17+G17+I17+H17-D17</f>
        <v>0</v>
      </c>
    </row>
    <row r="18" spans="2:13" x14ac:dyDescent="0.35">
      <c r="B18" s="109"/>
      <c r="D18" s="82"/>
      <c r="F18" s="176"/>
      <c r="H18" s="114"/>
      <c r="I18" s="177"/>
      <c r="K18" s="214"/>
    </row>
    <row r="19" spans="2:13" x14ac:dyDescent="0.35">
      <c r="B19" s="109" t="s">
        <v>43</v>
      </c>
      <c r="D19" s="82">
        <f>+'Wall finishes'!F22</f>
        <v>0</v>
      </c>
      <c r="F19" s="220">
        <f>+'Wall finishes'!K22</f>
        <v>0</v>
      </c>
      <c r="G19" s="221">
        <f>+'Wall finishes'!L22</f>
        <v>0</v>
      </c>
      <c r="H19" s="114">
        <f>+'Wall finishes'!M22</f>
        <v>0</v>
      </c>
      <c r="I19" s="177">
        <f>+'Wall finishes'!N22</f>
        <v>0</v>
      </c>
      <c r="K19" s="114">
        <f t="shared" ref="K19" si="6">+F19+G19+I19+H19-D19</f>
        <v>0</v>
      </c>
    </row>
    <row r="20" spans="2:13" x14ac:dyDescent="0.35">
      <c r="B20" s="109"/>
      <c r="D20" s="82"/>
      <c r="F20" s="176"/>
      <c r="H20" s="114"/>
      <c r="I20" s="177"/>
      <c r="K20" s="214"/>
    </row>
    <row r="21" spans="2:13" x14ac:dyDescent="0.35">
      <c r="B21" s="109" t="s">
        <v>149</v>
      </c>
      <c r="D21" s="82">
        <f>+'Kitchens &amp; Bathrooms'!F43</f>
        <v>0</v>
      </c>
      <c r="F21" s="220">
        <f>+'Kitchens &amp; Bathrooms'!K43</f>
        <v>0</v>
      </c>
      <c r="G21" s="221">
        <f>+'Kitchens &amp; Bathrooms'!L43</f>
        <v>0</v>
      </c>
      <c r="H21" s="114">
        <f>+'Kitchens &amp; Bathrooms'!M43</f>
        <v>0</v>
      </c>
      <c r="I21" s="177">
        <f>+'Kitchens &amp; Bathrooms'!N43</f>
        <v>0</v>
      </c>
      <c r="K21" s="114">
        <f t="shared" ref="K21" si="7">+F21+G21+I21+H21-D21</f>
        <v>0</v>
      </c>
    </row>
    <row r="22" spans="2:13" x14ac:dyDescent="0.35">
      <c r="B22" s="109"/>
      <c r="D22" s="82"/>
      <c r="F22" s="176"/>
      <c r="H22" s="114"/>
      <c r="I22" s="177"/>
      <c r="K22" s="214"/>
    </row>
    <row r="23" spans="2:13" x14ac:dyDescent="0.35">
      <c r="B23" s="109" t="s">
        <v>15</v>
      </c>
      <c r="D23" s="82">
        <f>+Electrical!F14</f>
        <v>0</v>
      </c>
      <c r="F23" s="220">
        <f>+Electrical!K14</f>
        <v>0</v>
      </c>
      <c r="G23" s="221">
        <f>+Electrical!L14</f>
        <v>0</v>
      </c>
      <c r="H23" s="114">
        <f>+Electrical!M14</f>
        <v>0</v>
      </c>
      <c r="I23" s="177">
        <f>+Electrical!N14</f>
        <v>0</v>
      </c>
      <c r="K23" s="114">
        <f t="shared" ref="K23" si="8">+F23+G23+I23+H23-D23</f>
        <v>0</v>
      </c>
    </row>
    <row r="24" spans="2:13" x14ac:dyDescent="0.35">
      <c r="B24" s="109"/>
      <c r="D24" s="82"/>
      <c r="F24" s="176"/>
      <c r="H24" s="114"/>
      <c r="I24" s="177"/>
      <c r="K24" s="214"/>
    </row>
    <row r="25" spans="2:13" x14ac:dyDescent="0.35">
      <c r="B25" s="109" t="s">
        <v>14</v>
      </c>
      <c r="D25" s="82">
        <f>+Mechanical!F15</f>
        <v>0</v>
      </c>
      <c r="F25" s="220">
        <f>+Mechanical!K15</f>
        <v>0</v>
      </c>
      <c r="G25" s="221">
        <f>+Mechanical!L15</f>
        <v>0</v>
      </c>
      <c r="H25" s="114">
        <f>+Mechanical!M15</f>
        <v>0</v>
      </c>
      <c r="I25" s="177">
        <f>+Mechanical!N15</f>
        <v>0</v>
      </c>
      <c r="K25" s="114">
        <f t="shared" ref="K25" si="9">+F25+G25+I25+H25-D25</f>
        <v>0</v>
      </c>
    </row>
    <row r="26" spans="2:13" x14ac:dyDescent="0.35">
      <c r="B26" s="109"/>
      <c r="D26" s="82"/>
      <c r="F26" s="176"/>
      <c r="H26" s="114"/>
      <c r="I26" s="177"/>
      <c r="K26" s="214"/>
    </row>
    <row r="27" spans="2:13" ht="16" thickBot="1" x14ac:dyDescent="0.4">
      <c r="B27" s="110"/>
      <c r="D27" s="82"/>
      <c r="F27" s="176"/>
      <c r="H27" s="114"/>
      <c r="I27" s="177"/>
      <c r="K27" s="214"/>
      <c r="M27" s="114"/>
    </row>
    <row r="28" spans="2:13" s="115" customFormat="1" ht="30.25" customHeight="1" thickBot="1" x14ac:dyDescent="0.4">
      <c r="B28" s="111" t="s">
        <v>99</v>
      </c>
      <c r="C28" s="112"/>
      <c r="D28" s="113">
        <f>SUM(D3:D27)</f>
        <v>0</v>
      </c>
      <c r="E28" s="84"/>
      <c r="F28" s="223">
        <f>SUM(F6:F26)</f>
        <v>0</v>
      </c>
      <c r="G28" s="222">
        <f>SUM(G6:G27)</f>
        <v>0</v>
      </c>
      <c r="H28" s="237">
        <f>SUM(H6:H27)</f>
        <v>0</v>
      </c>
      <c r="I28" s="219">
        <f>SUM(I6:I27)</f>
        <v>0</v>
      </c>
      <c r="J28" s="85"/>
      <c r="K28" s="114">
        <f>+F28+G28+I28+H28-D28</f>
        <v>0</v>
      </c>
      <c r="L28" s="85"/>
      <c r="M28" s="85"/>
    </row>
    <row r="29" spans="2:13" x14ac:dyDescent="0.35">
      <c r="B29" s="116"/>
      <c r="D29" s="117"/>
      <c r="F29" s="176"/>
      <c r="H29" s="114"/>
      <c r="I29" s="177"/>
    </row>
    <row r="30" spans="2:13" ht="16" thickBot="1" x14ac:dyDescent="0.4">
      <c r="B30" s="116"/>
      <c r="D30" s="117"/>
      <c r="F30" s="176"/>
      <c r="H30" s="114"/>
      <c r="I30" s="177"/>
    </row>
    <row r="31" spans="2:13" ht="34.5" customHeight="1" thickBot="1" x14ac:dyDescent="0.4">
      <c r="B31" s="118" t="s">
        <v>100</v>
      </c>
      <c r="C31" s="112"/>
      <c r="D31" s="113">
        <f>+D28</f>
        <v>0</v>
      </c>
      <c r="F31" s="176"/>
      <c r="I31" s="215"/>
    </row>
    <row r="32" spans="2:13" x14ac:dyDescent="0.35">
      <c r="B32" s="119"/>
      <c r="C32" s="120"/>
      <c r="D32" s="121"/>
      <c r="F32" s="176"/>
      <c r="I32" s="215"/>
    </row>
    <row r="33" spans="2:13" ht="16" thickBot="1" x14ac:dyDescent="0.4">
      <c r="B33" s="122"/>
      <c r="C33" s="123"/>
      <c r="D33" s="83"/>
      <c r="F33" s="216"/>
      <c r="G33" s="217"/>
      <c r="H33" s="239"/>
      <c r="I33" s="218"/>
    </row>
    <row r="42" spans="2:13" s="84" customFormat="1" x14ac:dyDescent="0.35">
      <c r="B42" s="124"/>
      <c r="C42" s="125"/>
      <c r="D42" s="126"/>
      <c r="F42" s="114"/>
      <c r="G42" s="114"/>
      <c r="H42" s="214"/>
      <c r="I42" s="214"/>
      <c r="J42" s="85"/>
      <c r="K42" s="85"/>
      <c r="L42" s="85"/>
      <c r="M42" s="85"/>
    </row>
    <row r="43" spans="2:13" s="84" customFormat="1" x14ac:dyDescent="0.35">
      <c r="B43" s="124"/>
      <c r="C43" s="125"/>
      <c r="D43" s="126"/>
      <c r="F43" s="114"/>
      <c r="G43" s="114"/>
      <c r="H43" s="214"/>
      <c r="I43" s="214"/>
      <c r="J43" s="85"/>
      <c r="K43" s="85"/>
      <c r="L43" s="85"/>
      <c r="M43" s="85"/>
    </row>
    <row r="44" spans="2:13" s="84" customFormat="1" x14ac:dyDescent="0.35">
      <c r="B44" s="124"/>
      <c r="C44" s="125"/>
      <c r="D44" s="126"/>
      <c r="F44" s="114"/>
      <c r="G44" s="114"/>
      <c r="H44" s="214"/>
      <c r="I44" s="214"/>
      <c r="J44" s="85"/>
      <c r="K44" s="85"/>
      <c r="L44" s="85"/>
      <c r="M44" s="85"/>
    </row>
    <row r="45" spans="2:13" s="84" customFormat="1" x14ac:dyDescent="0.35">
      <c r="B45" s="127"/>
      <c r="C45" s="81"/>
      <c r="D45" s="86"/>
      <c r="F45" s="114"/>
      <c r="G45" s="114"/>
      <c r="H45" s="214"/>
      <c r="I45" s="214"/>
      <c r="J45" s="85"/>
      <c r="K45" s="85"/>
      <c r="L45" s="85"/>
      <c r="M45" s="85"/>
    </row>
    <row r="46" spans="2:13" s="84" customFormat="1" x14ac:dyDescent="0.35">
      <c r="B46" s="128"/>
      <c r="C46" s="129"/>
      <c r="D46" s="130"/>
      <c r="F46" s="114"/>
      <c r="G46" s="114"/>
      <c r="H46" s="214"/>
      <c r="I46" s="214"/>
      <c r="J46" s="85"/>
      <c r="K46" s="85"/>
      <c r="L46" s="85"/>
      <c r="M46" s="85"/>
    </row>
    <row r="48" spans="2:13" s="84" customFormat="1" x14ac:dyDescent="0.35">
      <c r="B48" s="128"/>
      <c r="C48" s="129"/>
      <c r="D48" s="130"/>
      <c r="F48" s="114"/>
      <c r="G48" s="114"/>
      <c r="H48" s="214"/>
      <c r="I48" s="214"/>
      <c r="J48" s="85"/>
      <c r="K48" s="85"/>
      <c r="L48" s="85"/>
      <c r="M48" s="85"/>
    </row>
    <row r="51" spans="2:13" s="84" customFormat="1" x14ac:dyDescent="0.35">
      <c r="B51" s="128"/>
      <c r="C51" s="129"/>
      <c r="D51" s="130"/>
      <c r="F51" s="114"/>
      <c r="G51" s="114"/>
      <c r="H51" s="214"/>
      <c r="I51" s="214"/>
      <c r="J51" s="85"/>
      <c r="K51" s="85"/>
      <c r="L51" s="85"/>
      <c r="M51" s="85"/>
    </row>
    <row r="52" spans="2:13" s="84" customFormat="1" x14ac:dyDescent="0.35">
      <c r="B52" s="131"/>
      <c r="C52" s="132"/>
      <c r="D52" s="133"/>
      <c r="F52" s="114"/>
      <c r="G52" s="114"/>
      <c r="H52" s="214"/>
      <c r="I52" s="214"/>
      <c r="J52" s="85"/>
      <c r="K52" s="85"/>
      <c r="L52" s="85"/>
      <c r="M52" s="85"/>
    </row>
    <row r="54" spans="2:13" s="84" customFormat="1" x14ac:dyDescent="0.35">
      <c r="B54" s="127"/>
      <c r="C54" s="81"/>
      <c r="D54" s="86"/>
      <c r="F54" s="114"/>
      <c r="G54" s="114"/>
      <c r="H54" s="214"/>
      <c r="I54" s="214"/>
      <c r="J54" s="85"/>
      <c r="K54" s="85"/>
      <c r="L54" s="85"/>
      <c r="M54" s="85"/>
    </row>
  </sheetData>
  <mergeCells count="3">
    <mergeCell ref="B5:D5"/>
    <mergeCell ref="F4:I4"/>
    <mergeCell ref="L5:M5"/>
  </mergeCells>
  <conditionalFormatting sqref="K7 K9 K11 K13 K15 K17 K19 K21 K23 K25">
    <cfRule type="cellIs" dxfId="189" priority="9" operator="equal">
      <formula>0</formula>
    </cfRule>
    <cfRule type="cellIs" dxfId="188" priority="10" operator="notEqual">
      <formula>0</formula>
    </cfRule>
  </conditionalFormatting>
  <conditionalFormatting sqref="K28">
    <cfRule type="cellIs" dxfId="187" priority="7" operator="equal">
      <formula>0</formula>
    </cfRule>
    <cfRule type="cellIs" dxfId="186" priority="8" operator="notEqual">
      <formula>0</formula>
    </cfRule>
  </conditionalFormatting>
  <conditionalFormatting sqref="L5">
    <cfRule type="containsText" dxfId="185" priority="2" operator="containsText" text="No Missing Sheets">
      <formula>NOT(ISERROR(SEARCH("No Missing Sheets",L5)))</formula>
    </cfRule>
  </conditionalFormatting>
  <conditionalFormatting sqref="L5:M5">
    <cfRule type="cellIs" dxfId="184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O17"/>
  <sheetViews>
    <sheetView zoomScale="75" zoomScaleNormal="95" workbookViewId="0">
      <selection activeCell="B3" sqref="B3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0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25" width="9.08984375" style="16"/>
    <col min="26" max="41" width="9.08984375" style="16" hidden="1" customWidth="1"/>
    <col min="42" max="16384" width="9.08984375" style="16"/>
  </cols>
  <sheetData>
    <row r="1" spans="1:40" x14ac:dyDescent="0.35">
      <c r="A1" s="27"/>
      <c r="B1" s="23"/>
      <c r="C1" s="29"/>
      <c r="D1" s="24"/>
      <c r="E1" s="31"/>
      <c r="F1" s="32"/>
      <c r="G1" s="31"/>
      <c r="H1" s="31"/>
      <c r="I1" s="31"/>
      <c r="J1" s="24"/>
    </row>
    <row r="2" spans="1:40" x14ac:dyDescent="0.35">
      <c r="A2" s="15"/>
      <c r="B2" s="3" t="str">
        <f>+'Qual, Excl &amp; Assum'!B2</f>
        <v>PROJECT:EXTERNAL AND INTERNAL REFURBISHMENT OF EXISTING APARTMENTS</v>
      </c>
      <c r="F2" s="33"/>
    </row>
    <row r="3" spans="1:40" x14ac:dyDescent="0.35">
      <c r="A3" s="15"/>
      <c r="B3" s="51" t="str">
        <f>+'Qual, Excl &amp; Assum'!B3</f>
        <v>DATE: 29TH OCTOBER 2025</v>
      </c>
      <c r="F3" s="33"/>
    </row>
    <row r="4" spans="1:40" s="21" customFormat="1" ht="16" thickBot="1" x14ac:dyDescent="0.4">
      <c r="A4" s="15"/>
      <c r="B4" s="22"/>
      <c r="C4" s="30"/>
      <c r="E4" s="34"/>
      <c r="F4" s="35"/>
      <c r="G4" s="34"/>
      <c r="H4" s="34"/>
      <c r="I4" s="34"/>
      <c r="K4" s="20"/>
      <c r="L4" s="20"/>
      <c r="M4" s="20"/>
      <c r="N4" s="20"/>
    </row>
    <row r="5" spans="1:40" s="21" customFormat="1" ht="38.25" customHeight="1" thickBot="1" x14ac:dyDescent="0.4">
      <c r="A5" s="186"/>
      <c r="B5" s="187" t="s">
        <v>79</v>
      </c>
      <c r="C5" s="188"/>
      <c r="D5" s="189"/>
      <c r="E5" s="190"/>
      <c r="F5" s="196"/>
      <c r="G5" s="343" t="s">
        <v>102</v>
      </c>
      <c r="H5" s="344"/>
      <c r="I5" s="344"/>
      <c r="J5" s="345"/>
      <c r="K5" s="343" t="s">
        <v>103</v>
      </c>
      <c r="L5" s="344"/>
      <c r="M5" s="344"/>
      <c r="N5" s="345"/>
    </row>
    <row r="6" spans="1:40" s="21" customFormat="1" ht="18.5" x14ac:dyDescent="0.45">
      <c r="A6" s="47"/>
      <c r="B6" s="36"/>
      <c r="C6" s="135"/>
      <c r="D6" s="36"/>
      <c r="E6" s="62"/>
      <c r="F6" s="178"/>
      <c r="G6" s="228"/>
      <c r="H6" s="62"/>
      <c r="I6" s="62"/>
      <c r="J6" s="183"/>
      <c r="K6" s="194"/>
      <c r="L6" s="20"/>
      <c r="M6" s="20"/>
      <c r="N6" s="33"/>
    </row>
    <row r="7" spans="1:40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40" s="21" customFormat="1" ht="18.5" x14ac:dyDescent="0.45">
      <c r="A8" s="72" t="str">
        <f>IF(F8&lt;&gt;"",(LARGE(A$7:A7,1)+1),"")</f>
        <v/>
      </c>
      <c r="B8" s="141"/>
      <c r="C8" s="142"/>
      <c r="D8" s="49"/>
      <c r="E8" s="46"/>
      <c r="F8" s="180"/>
      <c r="G8" s="57"/>
      <c r="H8" s="46"/>
      <c r="I8" s="46"/>
      <c r="J8" s="180" t="str">
        <f>IF(D8=0," ",(G8+H8)*(Details!$C$4))</f>
        <v xml:space="preserve"> </v>
      </c>
      <c r="K8" s="194"/>
      <c r="L8" s="20"/>
      <c r="M8" s="20"/>
      <c r="N8" s="180" t="str">
        <f t="shared" ref="N8" si="0">IF(D8=0," ",(J8*C8))</f>
        <v xml:space="preserve"> </v>
      </c>
    </row>
    <row r="9" spans="1:40" s="21" customFormat="1" ht="18.5" x14ac:dyDescent="0.45">
      <c r="A9" s="72" t="str">
        <f>IF(F9&lt;&gt;"",(LARGE(A$7:A8,1)+1),"")</f>
        <v/>
      </c>
      <c r="B9" s="153" t="s">
        <v>39</v>
      </c>
      <c r="C9" s="138"/>
      <c r="D9" s="59"/>
      <c r="E9" s="60"/>
      <c r="F9" s="179"/>
      <c r="G9" s="57"/>
      <c r="H9" s="46"/>
      <c r="I9" s="46"/>
      <c r="J9" s="180"/>
      <c r="K9" s="194"/>
      <c r="L9" s="197"/>
      <c r="M9" s="197"/>
      <c r="N9" s="180"/>
      <c r="Z9" s="21" t="str">
        <f>IF(F9&lt;&gt;"",(LARGE(A$7:A8,1)+1),"")</f>
        <v/>
      </c>
      <c r="AA9" s="21" t="s">
        <v>39</v>
      </c>
    </row>
    <row r="10" spans="1:40" s="21" customFormat="1" ht="18.5" x14ac:dyDescent="0.45">
      <c r="A10" s="72" t="str">
        <f>IF(F10&lt;&gt;"",(LARGE(A$7:A9,1)+1),"")</f>
        <v/>
      </c>
      <c r="B10" s="153" t="s">
        <v>181</v>
      </c>
      <c r="C10" s="138"/>
      <c r="D10" s="59"/>
      <c r="E10" s="60"/>
      <c r="F10" s="179"/>
      <c r="G10" s="57"/>
      <c r="H10" s="46"/>
      <c r="I10" s="46"/>
      <c r="J10" s="180"/>
      <c r="K10" s="194"/>
      <c r="L10" s="154"/>
      <c r="M10" s="154"/>
      <c r="N10" s="180"/>
      <c r="O10" s="20"/>
      <c r="Z10" s="21" t="str">
        <f>IF(F10&lt;&gt;"",(LARGE(A$7:A9,1)+1),"")</f>
        <v/>
      </c>
      <c r="AN10" s="21" t="s">
        <v>59</v>
      </c>
    </row>
    <row r="11" spans="1:40" s="21" customFormat="1" ht="18.5" x14ac:dyDescent="0.45">
      <c r="A11" s="72">
        <v>1</v>
      </c>
      <c r="B11" s="36" t="s">
        <v>182</v>
      </c>
      <c r="C11" s="135">
        <f>2.74/0.545*26</f>
        <v>130.71559633027522</v>
      </c>
      <c r="D11" s="49" t="s">
        <v>13</v>
      </c>
      <c r="E11" s="46">
        <f>G11+H11+J11+I11</f>
        <v>0</v>
      </c>
      <c r="F11" s="180">
        <f>E11*C11</f>
        <v>0</v>
      </c>
      <c r="G11" s="57">
        <v>0</v>
      </c>
      <c r="H11" s="46">
        <v>0</v>
      </c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  <c r="O11" s="16"/>
      <c r="Z11" s="21">
        <v>1</v>
      </c>
      <c r="AC11" s="21" t="s">
        <v>13</v>
      </c>
      <c r="AD11" s="303">
        <f>G11+H11+J11+I11</f>
        <v>0</v>
      </c>
      <c r="AE11" s="303">
        <f>E11*C11</f>
        <v>0</v>
      </c>
      <c r="AF11" s="303">
        <f>O11*1.75*Details!$M$36</f>
        <v>0</v>
      </c>
      <c r="AG11" s="303">
        <f>O11*3+500/1000*O11*C11</f>
        <v>0</v>
      </c>
      <c r="AH11" s="303">
        <f>IF(D11=0," ",(G11)*(Details!$C$4+Details!$C$8))</f>
        <v>0</v>
      </c>
      <c r="AI11" s="303">
        <f>IF(D11=0," ",(H11)*(Details!$C$6+Details!$C$8))</f>
        <v>0</v>
      </c>
      <c r="AJ11" s="303">
        <f>+G11*C11</f>
        <v>0</v>
      </c>
      <c r="AK11" s="303">
        <f>+H11*C11</f>
        <v>0</v>
      </c>
      <c r="AL11" s="303">
        <f>IF(D11=0," ",(I11*C11))</f>
        <v>0</v>
      </c>
      <c r="AM11" s="303">
        <f>IF(D11=0," ",(J11*C11))</f>
        <v>0</v>
      </c>
      <c r="AN11" s="21">
        <v>0</v>
      </c>
    </row>
    <row r="12" spans="1:40" s="21" customFormat="1" ht="18.5" x14ac:dyDescent="0.45">
      <c r="A12" s="72" t="str">
        <f>IF(F12&lt;&gt;"",(LARGE(A$7:A11,1)+1),"")</f>
        <v/>
      </c>
      <c r="B12" s="36"/>
      <c r="C12" s="135"/>
      <c r="D12" s="49"/>
      <c r="E12" s="46"/>
      <c r="F12" s="180"/>
      <c r="G12" s="57"/>
      <c r="H12" s="46"/>
      <c r="I12" s="46"/>
      <c r="J12" s="180"/>
      <c r="K12" s="15"/>
      <c r="L12" s="20"/>
      <c r="M12" s="20"/>
      <c r="N12" s="180"/>
      <c r="O12" s="16"/>
      <c r="Z12" s="21" t="str">
        <f>IF(F12&lt;&gt;"",(LARGE(A$7:A11,1)+1),"")</f>
        <v/>
      </c>
    </row>
    <row r="13" spans="1:40" s="21" customFormat="1" ht="18.5" x14ac:dyDescent="0.45">
      <c r="A13" s="72">
        <f>IF(F13&lt;&gt;"",(LARGE(A$7:A12,1)+1),"")</f>
        <v>2</v>
      </c>
      <c r="B13" s="36" t="s">
        <v>183</v>
      </c>
      <c r="C13" s="135">
        <f>26*2</f>
        <v>52</v>
      </c>
      <c r="D13" s="49" t="s">
        <v>13</v>
      </c>
      <c r="E13" s="46">
        <f>G13+H13+J13+I13</f>
        <v>0</v>
      </c>
      <c r="F13" s="180">
        <f>E13*C13</f>
        <v>0</v>
      </c>
      <c r="G13" s="57">
        <v>0</v>
      </c>
      <c r="H13" s="46">
        <v>0</v>
      </c>
      <c r="I13" s="46">
        <f>IF(D13=0," ",(G13)*(Details!$C$4+Details!$C$8))</f>
        <v>0</v>
      </c>
      <c r="J13" s="180">
        <f>IF(D13=0," ",(H13)*(Details!$C$6+Details!$C$8))</f>
        <v>0</v>
      </c>
      <c r="K13" s="57">
        <f>+G13*C13</f>
        <v>0</v>
      </c>
      <c r="L13" s="46">
        <f>+H13*C13</f>
        <v>0</v>
      </c>
      <c r="M13" s="46">
        <f>IF(D13=0," ",(I13*C13))</f>
        <v>0</v>
      </c>
      <c r="N13" s="180">
        <f>IF(D13=0," ",(J13*C13))</f>
        <v>0</v>
      </c>
      <c r="O13" s="16"/>
    </row>
    <row r="14" spans="1:40" s="21" customFormat="1" ht="18.5" x14ac:dyDescent="0.45">
      <c r="A14" s="72" t="str">
        <f>IF(F14&lt;&gt;"",(LARGE(A$7:A13,1)+1),"")</f>
        <v/>
      </c>
      <c r="B14" s="36"/>
      <c r="C14" s="135"/>
      <c r="D14" s="49"/>
      <c r="E14" s="46"/>
      <c r="F14" s="180"/>
      <c r="G14" s="57"/>
      <c r="H14" s="46"/>
      <c r="I14" s="46"/>
      <c r="J14" s="180"/>
      <c r="K14" s="15"/>
      <c r="L14" s="20"/>
      <c r="M14" s="20"/>
      <c r="N14" s="180"/>
      <c r="O14" s="16"/>
    </row>
    <row r="15" spans="1:40" s="21" customFormat="1" ht="18.5" x14ac:dyDescent="0.45">
      <c r="A15" s="72" t="str">
        <f>IF(F15&lt;&gt;"",(LARGE(A$7:A14,1)+1),"")</f>
        <v/>
      </c>
      <c r="B15" s="141"/>
      <c r="C15" s="135"/>
      <c r="D15" s="49"/>
      <c r="E15" s="46"/>
      <c r="F15" s="180"/>
      <c r="G15" s="57"/>
      <c r="H15" s="46"/>
      <c r="I15" s="46"/>
      <c r="J15" s="180"/>
      <c r="K15" s="194"/>
      <c r="L15" s="20"/>
      <c r="M15" s="20"/>
      <c r="N15" s="180"/>
      <c r="P15" s="70" t="s">
        <v>106</v>
      </c>
    </row>
    <row r="16" spans="1:40" s="21" customFormat="1" ht="19" thickBot="1" x14ac:dyDescent="0.5">
      <c r="A16" s="47"/>
      <c r="B16" s="149"/>
      <c r="C16" s="135"/>
      <c r="D16" s="58"/>
      <c r="E16" s="60" t="s">
        <v>80</v>
      </c>
      <c r="F16" s="181">
        <f>SUM(F5:F14)</f>
        <v>0</v>
      </c>
      <c r="G16" s="57"/>
      <c r="H16" s="46"/>
      <c r="I16" s="46"/>
      <c r="J16" s="180" t="str">
        <f>IF(D16=0," ",(G16+H16)*(Details!$C$4+Details!$C$6))</f>
        <v xml:space="preserve"> </v>
      </c>
      <c r="K16" s="225">
        <f>SUM(K5:K15)</f>
        <v>0</v>
      </c>
      <c r="L16" s="226">
        <f>SUM(L5:L15)</f>
        <v>0</v>
      </c>
      <c r="M16" s="226">
        <f>SUM(M5:M15)</f>
        <v>0</v>
      </c>
      <c r="N16" s="181">
        <f>SUM(N5:N15)</f>
        <v>0</v>
      </c>
      <c r="P16" s="70">
        <f>+F16-K16-L16-N16-M16</f>
        <v>0</v>
      </c>
    </row>
    <row r="17" spans="1:16" s="21" customFormat="1" ht="19.5" thickTop="1" thickBot="1" x14ac:dyDescent="0.5">
      <c r="A17" s="144" t="str">
        <f>IF(D17=0," ",(LARGE(A$8:A16,1)+1))</f>
        <v xml:space="preserve"> </v>
      </c>
      <c r="B17" s="151"/>
      <c r="C17" s="146"/>
      <c r="D17" s="61"/>
      <c r="E17" s="63"/>
      <c r="F17" s="182"/>
      <c r="G17" s="64"/>
      <c r="H17" s="63"/>
      <c r="I17" s="63"/>
      <c r="J17" s="65" t="str">
        <f>IF(D17=0," ",(G17+H17)*(Details!$C$4+Details!$C$6))</f>
        <v xml:space="preserve"> </v>
      </c>
      <c r="K17" s="207"/>
      <c r="L17" s="207"/>
      <c r="M17" s="207"/>
      <c r="N17" s="175"/>
      <c r="P17" s="53"/>
    </row>
  </sheetData>
  <mergeCells count="2">
    <mergeCell ref="G5:J5"/>
    <mergeCell ref="K5:N5"/>
  </mergeCells>
  <conditionalFormatting sqref="G8:G10512">
    <cfRule type="notContainsBlanks" dxfId="183" priority="1">
      <formula>LEN(TRIM(G8))&gt;0</formula>
    </cfRule>
  </conditionalFormatting>
  <conditionalFormatting sqref="H13">
    <cfRule type="notContainsBlanks" dxfId="182" priority="74">
      <formula>LEN(TRIM(H13))&gt;0</formula>
    </cfRule>
  </conditionalFormatting>
  <conditionalFormatting sqref="H8:I10 H11 H12:I12 H14:I10412">
    <cfRule type="notContainsBlanks" dxfId="181" priority="81">
      <formula>LEN(TRIM(H8))&gt;0</formula>
    </cfRule>
  </conditionalFormatting>
  <conditionalFormatting sqref="P16">
    <cfRule type="cellIs" dxfId="180" priority="77" operator="equal">
      <formula>0</formula>
    </cfRule>
    <cfRule type="cellIs" dxfId="179" priority="7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SteelworkToggleButton">
              <controlPr defaultSize="0" print="0" autoFill="0" autoPict="0" macro="[0]!ToggleSteelwork">
                <anchor moveWithCells="1">
                  <from>
                    <xdr:col>3</xdr:col>
                    <xdr:colOff>406400</xdr:colOff>
                    <xdr:row>1</xdr:row>
                    <xdr:rowOff>38100</xdr:rowOff>
                  </from>
                  <to>
                    <xdr:col>5</xdr:col>
                    <xdr:colOff>952500</xdr:colOff>
                    <xdr:row>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X34"/>
  <sheetViews>
    <sheetView zoomScale="75" zoomScaleNormal="85" workbookViewId="0">
      <selection activeCell="R5" sqref="R5"/>
    </sheetView>
  </sheetViews>
  <sheetFormatPr defaultColWidth="9.08984375" defaultRowHeight="15.5" x14ac:dyDescent="0.35"/>
  <cols>
    <col min="1" max="1" width="5.81640625" style="16" customWidth="1"/>
    <col min="2" max="2" width="50.6328125" style="16" customWidth="1"/>
    <col min="3" max="4" width="11.6328125" style="68" customWidth="1"/>
    <col min="5" max="5" width="12.453125" style="30" customWidth="1"/>
    <col min="6" max="6" width="8.6328125" style="16" customWidth="1"/>
    <col min="7" max="11" width="15.6328125" style="20" customWidth="1"/>
    <col min="12" max="16" width="15.6328125" style="16" customWidth="1"/>
    <col min="17" max="17" width="14" style="67" bestFit="1" customWidth="1"/>
    <col min="18" max="19" width="11.6328125" style="67" bestFit="1" customWidth="1"/>
    <col min="20" max="20" width="10.6328125" style="67" customWidth="1"/>
    <col min="21" max="21" width="11.36328125" style="30" bestFit="1" customWidth="1"/>
    <col min="22" max="22" width="14.453125" style="16" bestFit="1" customWidth="1"/>
    <col min="23" max="16384" width="9.08984375" style="16"/>
  </cols>
  <sheetData>
    <row r="1" spans="1:24" x14ac:dyDescent="0.35">
      <c r="A1" s="27"/>
      <c r="B1" s="24"/>
      <c r="C1" s="73"/>
      <c r="D1" s="73"/>
      <c r="E1" s="29"/>
      <c r="F1" s="24"/>
      <c r="G1" s="31"/>
      <c r="H1" s="32"/>
      <c r="I1" s="31"/>
      <c r="J1" s="31"/>
      <c r="K1" s="31"/>
      <c r="L1" s="24"/>
      <c r="U1" s="240">
        <v>1</v>
      </c>
    </row>
    <row r="2" spans="1:24" x14ac:dyDescent="0.35">
      <c r="A2" s="15"/>
      <c r="B2" s="3" t="str">
        <f>+'Qual, Excl &amp; Assum'!B2</f>
        <v>PROJECT:EXTERNAL AND INTERNAL REFURBISHMENT OF EXISTING APARTMENTS</v>
      </c>
      <c r="C2" s="74"/>
      <c r="D2" s="74"/>
      <c r="H2" s="33"/>
      <c r="R2" s="234" t="s">
        <v>154</v>
      </c>
      <c r="S2" s="234" t="s">
        <v>154</v>
      </c>
    </row>
    <row r="3" spans="1:24" x14ac:dyDescent="0.35">
      <c r="A3" s="15"/>
      <c r="B3" s="51" t="str">
        <f>+'Qual, Excl &amp; Assum'!B3</f>
        <v>DATE: 29TH OCTOBER 2025</v>
      </c>
      <c r="C3" s="75"/>
      <c r="D3" s="75"/>
      <c r="H3" s="33"/>
      <c r="R3" s="67" t="s">
        <v>40</v>
      </c>
      <c r="S3" s="67" t="s">
        <v>41</v>
      </c>
      <c r="T3" s="67" t="s">
        <v>42</v>
      </c>
      <c r="U3" s="66"/>
      <c r="V3" s="21"/>
      <c r="W3" s="21"/>
      <c r="X3" s="21"/>
    </row>
    <row r="4" spans="1:24" s="21" customFormat="1" x14ac:dyDescent="0.35">
      <c r="A4" s="15"/>
      <c r="B4" s="16"/>
      <c r="C4" s="68"/>
      <c r="D4" s="76"/>
      <c r="E4" s="30"/>
      <c r="G4" s="34"/>
      <c r="H4" s="35"/>
      <c r="I4" s="34"/>
      <c r="J4" s="34"/>
      <c r="K4" s="34"/>
      <c r="Q4" s="67"/>
      <c r="R4" s="20">
        <f>IF($R$2="Multiple", "Input",
    IF($R$2="UPVC",$U$1*750,0)
    +IF($R$2="Aluminium",$U$1*1250,0)
    +IF($R$2="Timber",$U$1*1250,0)
    +IF($R$2="Composite",$U$1*1500,0)
    +IF($R$2="Crittall",$U$1*2000,0)
)</f>
        <v>750</v>
      </c>
      <c r="S4" s="20">
        <f>IF($S$2="Multiple", "Input",
    IF($S$2="UPVC",$U$1*250,0)
    +IF($S$2="Aluminium",$U$1*600,0)
    +IF($S$2="Timber",$U$1*550,0)
    +IF($S$2="Composite",$U$1*450,0)
    +IF($S$2="Crittall",$U$1*1250,0)
)</f>
        <v>250</v>
      </c>
      <c r="T4" s="67">
        <v>800</v>
      </c>
      <c r="U4" s="66"/>
    </row>
    <row r="5" spans="1:24" s="21" customFormat="1" ht="16" thickBot="1" x14ac:dyDescent="0.4">
      <c r="A5" s="15"/>
      <c r="B5" s="16"/>
      <c r="C5" s="68"/>
      <c r="D5" s="76"/>
      <c r="E5" s="30"/>
      <c r="G5" s="34"/>
      <c r="H5" s="35"/>
      <c r="I5" s="34"/>
      <c r="J5" s="34"/>
      <c r="K5" s="34"/>
      <c r="L5" s="207"/>
      <c r="M5" s="207"/>
      <c r="Q5" s="67"/>
      <c r="R5" s="67" t="str">
        <f>IF($R$2="Multiple", "Input", "")</f>
        <v/>
      </c>
      <c r="S5" s="67" t="str">
        <f>IF($S$2="Multiple", "Input", "")</f>
        <v/>
      </c>
      <c r="T5" s="67"/>
      <c r="U5" s="20"/>
    </row>
    <row r="6" spans="1:24" s="21" customFormat="1" ht="37.5" customHeight="1" thickBot="1" x14ac:dyDescent="0.55000000000000004">
      <c r="A6" s="198"/>
      <c r="B6" s="199" t="s">
        <v>78</v>
      </c>
      <c r="C6" s="200"/>
      <c r="D6" s="200"/>
      <c r="E6" s="201"/>
      <c r="F6" s="202"/>
      <c r="G6" s="203"/>
      <c r="H6" s="204"/>
      <c r="I6" s="343" t="s">
        <v>102</v>
      </c>
      <c r="J6" s="344"/>
      <c r="K6" s="344"/>
      <c r="L6" s="345"/>
      <c r="M6" s="344" t="s">
        <v>103</v>
      </c>
      <c r="N6" s="344"/>
      <c r="O6" s="344"/>
      <c r="P6" s="345"/>
      <c r="Q6" s="67"/>
      <c r="R6" s="67"/>
      <c r="S6" s="67"/>
      <c r="T6" s="67"/>
      <c r="U6" s="66"/>
    </row>
    <row r="7" spans="1:24" s="21" customFormat="1" ht="18.5" x14ac:dyDescent="0.45">
      <c r="A7" s="172"/>
      <c r="B7" s="208"/>
      <c r="C7" s="157"/>
      <c r="D7" s="157"/>
      <c r="E7" s="209"/>
      <c r="F7" s="137"/>
      <c r="G7" s="136"/>
      <c r="H7" s="210"/>
      <c r="I7" s="230"/>
      <c r="J7" s="232"/>
      <c r="K7" s="232"/>
      <c r="L7" s="174"/>
      <c r="M7" s="23"/>
      <c r="N7" s="23"/>
      <c r="O7" s="23"/>
      <c r="P7" s="174"/>
      <c r="Q7" s="67"/>
      <c r="R7" s="67"/>
      <c r="S7" s="67"/>
      <c r="T7" s="67"/>
      <c r="U7" s="66"/>
    </row>
    <row r="8" spans="1:24" s="21" customFormat="1" ht="21" x14ac:dyDescent="0.45">
      <c r="A8" s="47"/>
      <c r="B8" s="3" t="s">
        <v>3</v>
      </c>
      <c r="C8" s="212"/>
      <c r="D8" s="212"/>
      <c r="E8" s="234" t="s">
        <v>8</v>
      </c>
      <c r="F8" s="235" t="s">
        <v>2</v>
      </c>
      <c r="G8" s="52" t="s">
        <v>1</v>
      </c>
      <c r="H8" s="236" t="s">
        <v>0</v>
      </c>
      <c r="I8" s="237" t="s">
        <v>28</v>
      </c>
      <c r="J8" s="237" t="s">
        <v>29</v>
      </c>
      <c r="K8" s="237" t="s">
        <v>140</v>
      </c>
      <c r="L8" s="238" t="s">
        <v>141</v>
      </c>
      <c r="M8" s="237" t="s">
        <v>28</v>
      </c>
      <c r="N8" s="237" t="s">
        <v>29</v>
      </c>
      <c r="O8" s="237" t="s">
        <v>140</v>
      </c>
      <c r="P8" s="238" t="s">
        <v>141</v>
      </c>
      <c r="Q8" s="67"/>
      <c r="R8" s="67"/>
      <c r="S8" s="67"/>
      <c r="T8" s="67"/>
      <c r="U8" s="66"/>
    </row>
    <row r="9" spans="1:24" s="21" customFormat="1" ht="21" x14ac:dyDescent="0.5">
      <c r="A9" s="47"/>
      <c r="B9" s="49"/>
      <c r="C9" s="211" t="s">
        <v>108</v>
      </c>
      <c r="D9" s="211" t="s">
        <v>108</v>
      </c>
      <c r="E9" s="138"/>
      <c r="F9" s="59"/>
      <c r="G9" s="60"/>
      <c r="H9" s="179"/>
      <c r="I9" s="231"/>
      <c r="J9" s="52"/>
      <c r="K9" s="52"/>
      <c r="L9" s="205"/>
      <c r="M9" s="52"/>
      <c r="N9" s="192"/>
      <c r="O9" s="192"/>
      <c r="P9" s="180" t="str">
        <f t="shared" ref="P9:P14" si="0">IF(F9=0," ",(L9*E9))</f>
        <v xml:space="preserve"> </v>
      </c>
      <c r="Q9" s="30"/>
      <c r="R9" s="30"/>
      <c r="S9" s="30"/>
      <c r="T9" s="30"/>
      <c r="U9" s="30"/>
      <c r="V9" s="16"/>
    </row>
    <row r="10" spans="1:24" s="21" customFormat="1" ht="21" x14ac:dyDescent="0.5">
      <c r="A10" s="47"/>
      <c r="B10" s="49"/>
      <c r="C10" s="211"/>
      <c r="D10" s="211"/>
      <c r="E10" s="138"/>
      <c r="F10" s="59"/>
      <c r="G10" s="60"/>
      <c r="H10" s="179"/>
      <c r="I10" s="231"/>
      <c r="J10" s="52"/>
      <c r="K10" s="52"/>
      <c r="L10" s="205"/>
      <c r="M10" s="52"/>
      <c r="N10" s="192"/>
      <c r="O10" s="192"/>
      <c r="P10" s="180"/>
      <c r="Q10" s="30"/>
      <c r="R10" s="30"/>
      <c r="S10" s="30"/>
      <c r="T10" s="30"/>
      <c r="U10" s="30"/>
      <c r="V10" s="16"/>
    </row>
    <row r="11" spans="1:24" s="21" customFormat="1" ht="56" x14ac:dyDescent="0.5">
      <c r="A11" s="47"/>
      <c r="B11" s="309" t="s">
        <v>165</v>
      </c>
      <c r="C11" s="211"/>
      <c r="D11" s="211"/>
      <c r="E11" s="138"/>
      <c r="F11" s="59"/>
      <c r="G11" s="60"/>
      <c r="H11" s="179"/>
      <c r="I11" s="231"/>
      <c r="J11" s="52"/>
      <c r="K11" s="52"/>
      <c r="L11" s="205"/>
      <c r="M11" s="52"/>
      <c r="N11" s="192"/>
      <c r="O11" s="192"/>
      <c r="P11" s="180"/>
      <c r="Q11" s="30"/>
      <c r="R11" s="30"/>
      <c r="S11" s="30"/>
      <c r="T11" s="30"/>
      <c r="U11" s="30"/>
      <c r="V11" s="16"/>
    </row>
    <row r="12" spans="1:24" s="21" customFormat="1" ht="21" x14ac:dyDescent="0.5">
      <c r="A12" s="47"/>
      <c r="B12" s="49"/>
      <c r="C12" s="211"/>
      <c r="D12" s="211"/>
      <c r="E12" s="138"/>
      <c r="F12" s="59"/>
      <c r="G12" s="60"/>
      <c r="H12" s="179"/>
      <c r="I12" s="231"/>
      <c r="J12" s="52"/>
      <c r="K12" s="52"/>
      <c r="L12" s="205"/>
      <c r="M12" s="52"/>
      <c r="N12" s="192"/>
      <c r="O12" s="192"/>
      <c r="P12" s="180"/>
      <c r="Q12" s="30"/>
      <c r="R12" s="30"/>
      <c r="S12" s="30"/>
      <c r="T12" s="30"/>
      <c r="U12" s="30"/>
      <c r="V12" s="16"/>
    </row>
    <row r="13" spans="1:24" s="21" customFormat="1" ht="37" x14ac:dyDescent="0.45">
      <c r="A13" s="47"/>
      <c r="B13" s="159" t="s">
        <v>184</v>
      </c>
      <c r="C13" s="160" t="s">
        <v>57</v>
      </c>
      <c r="D13" s="160" t="s">
        <v>58</v>
      </c>
      <c r="E13" s="135"/>
      <c r="F13" s="49"/>
      <c r="G13" s="46"/>
      <c r="H13" s="180"/>
      <c r="I13" s="57"/>
      <c r="J13" s="46"/>
      <c r="K13" s="46"/>
      <c r="L13" s="180"/>
      <c r="M13" s="46"/>
      <c r="N13" s="46"/>
      <c r="O13" s="46"/>
      <c r="P13" s="180" t="str">
        <f t="shared" si="0"/>
        <v xml:space="preserve"> </v>
      </c>
      <c r="Q13" s="30"/>
      <c r="R13" s="30"/>
      <c r="S13" s="30"/>
      <c r="T13" s="30"/>
      <c r="U13" s="30"/>
      <c r="V13" s="16"/>
    </row>
    <row r="14" spans="1:24" s="21" customFormat="1" ht="18.5" x14ac:dyDescent="0.45">
      <c r="A14" s="47"/>
      <c r="B14" s="49"/>
      <c r="C14" s="158"/>
      <c r="D14" s="161"/>
      <c r="E14" s="135"/>
      <c r="F14" s="49"/>
      <c r="G14" s="46"/>
      <c r="H14" s="180"/>
      <c r="I14" s="57"/>
      <c r="J14" s="162"/>
      <c r="K14" s="162"/>
      <c r="L14" s="206"/>
      <c r="M14" s="162"/>
      <c r="N14" s="162"/>
      <c r="O14" s="162"/>
      <c r="P14" s="180" t="str">
        <f t="shared" si="0"/>
        <v xml:space="preserve"> </v>
      </c>
      <c r="Q14" s="30"/>
      <c r="R14" s="30"/>
      <c r="S14" s="30"/>
      <c r="T14" s="30"/>
      <c r="U14" s="30"/>
      <c r="V14" s="16"/>
    </row>
    <row r="15" spans="1:24" s="21" customFormat="1" ht="18.5" x14ac:dyDescent="0.45">
      <c r="A15" s="47">
        <v>1</v>
      </c>
      <c r="B15" s="163" t="s">
        <v>177</v>
      </c>
      <c r="C15" s="158">
        <v>762</v>
      </c>
      <c r="D15" s="164">
        <v>2134</v>
      </c>
      <c r="E15" s="135">
        <v>17</v>
      </c>
      <c r="F15" s="49" t="s">
        <v>12</v>
      </c>
      <c r="G15" s="46">
        <f>I15+J15+L15+K15</f>
        <v>0</v>
      </c>
      <c r="H15" s="180">
        <f>G15*E15</f>
        <v>0</v>
      </c>
      <c r="I15" s="57">
        <v>0</v>
      </c>
      <c r="J15" s="46"/>
      <c r="K15" s="46">
        <f>IF(F15=0," ",(I15)*(Details!$C$4+Details!$C$8))</f>
        <v>0</v>
      </c>
      <c r="L15" s="180">
        <f>IF(F15=0," ",(J15)*(Details!$C$6+Details!$C$8))</f>
        <v>0</v>
      </c>
      <c r="M15" s="57">
        <f>+I15*E15</f>
        <v>0</v>
      </c>
      <c r="N15" s="46">
        <f>+J15*E15</f>
        <v>0</v>
      </c>
      <c r="O15" s="46">
        <f>IF(F15=0," ",(K15*E15))</f>
        <v>0</v>
      </c>
      <c r="P15" s="180">
        <f>IF(F15=0," ",(L15*E15))</f>
        <v>0</v>
      </c>
      <c r="Q15" s="30"/>
      <c r="R15" s="30"/>
      <c r="S15" s="30"/>
      <c r="T15" s="30"/>
      <c r="U15" s="30"/>
      <c r="V15" s="30"/>
    </row>
    <row r="16" spans="1:24" s="21" customFormat="1" ht="18.5" x14ac:dyDescent="0.45">
      <c r="A16" s="47"/>
      <c r="B16" s="163"/>
      <c r="C16" s="158"/>
      <c r="D16" s="158"/>
      <c r="E16" s="135"/>
      <c r="F16" s="49"/>
      <c r="G16" s="46"/>
      <c r="H16" s="180"/>
      <c r="I16" s="57"/>
      <c r="J16" s="46"/>
      <c r="K16" s="46"/>
      <c r="L16" s="180"/>
      <c r="M16" s="46"/>
      <c r="N16" s="46"/>
      <c r="O16" s="46"/>
      <c r="P16" s="180"/>
      <c r="Q16" s="30"/>
      <c r="R16" s="30"/>
      <c r="S16" s="30"/>
      <c r="T16" s="30"/>
      <c r="U16" s="30"/>
      <c r="V16" s="16"/>
    </row>
    <row r="17" spans="1:24" s="21" customFormat="1" ht="18.5" x14ac:dyDescent="0.45">
      <c r="A17" s="72">
        <f>IF(F17&lt;&gt;"",(LARGE(A$8:A16,1)+1),"")</f>
        <v>2</v>
      </c>
      <c r="B17" s="163" t="s">
        <v>177</v>
      </c>
      <c r="C17" s="165">
        <v>710</v>
      </c>
      <c r="D17" s="164">
        <v>2032</v>
      </c>
      <c r="E17" s="135">
        <v>7</v>
      </c>
      <c r="F17" s="49" t="s">
        <v>12</v>
      </c>
      <c r="G17" s="46">
        <f t="shared" ref="G17" si="1">I17+J17+L17+K17</f>
        <v>0</v>
      </c>
      <c r="H17" s="180">
        <f>G17*E17</f>
        <v>0</v>
      </c>
      <c r="I17" s="57">
        <v>0</v>
      </c>
      <c r="J17" s="46"/>
      <c r="K17" s="46">
        <f>IF(F17=0," ",(I17)*(Details!$C$4+Details!$C$8))</f>
        <v>0</v>
      </c>
      <c r="L17" s="180">
        <f>IF(F17=0," ",(J17)*(Details!$C$6+Details!$C$8))</f>
        <v>0</v>
      </c>
      <c r="M17" s="57">
        <f t="shared" ref="M17" si="2">+I17*E17</f>
        <v>0</v>
      </c>
      <c r="N17" s="46">
        <f t="shared" ref="N17" si="3">+J17*E17</f>
        <v>0</v>
      </c>
      <c r="O17" s="46">
        <f t="shared" ref="O17" si="4">IF(F17=0," ",(K17*E17))</f>
        <v>0</v>
      </c>
      <c r="P17" s="180">
        <f t="shared" ref="P17" si="5">IF(F17=0," ",(L17*E17))</f>
        <v>0</v>
      </c>
      <c r="Q17" s="30"/>
      <c r="R17" s="30"/>
      <c r="S17" s="30"/>
      <c r="T17" s="30"/>
      <c r="U17" s="30"/>
      <c r="V17" s="30"/>
    </row>
    <row r="18" spans="1:24" s="21" customFormat="1" ht="18.5" x14ac:dyDescent="0.45">
      <c r="A18" s="72" t="str">
        <f>IF(F18&lt;&gt;"",(LARGE(A$8:A17,1)+1),"")</f>
        <v/>
      </c>
      <c r="B18" s="163"/>
      <c r="C18" s="165"/>
      <c r="D18" s="164"/>
      <c r="E18" s="135"/>
      <c r="F18" s="49"/>
      <c r="G18" s="46"/>
      <c r="H18" s="180"/>
      <c r="I18" s="57"/>
      <c r="J18" s="46"/>
      <c r="K18" s="46"/>
      <c r="L18" s="180"/>
      <c r="M18" s="46"/>
      <c r="N18" s="46"/>
      <c r="O18" s="46"/>
      <c r="P18" s="180"/>
      <c r="Q18" s="30"/>
      <c r="R18" s="30"/>
      <c r="S18" s="30"/>
      <c r="T18" s="30"/>
      <c r="U18" s="30"/>
      <c r="V18" s="30"/>
    </row>
    <row r="19" spans="1:24" s="21" customFormat="1" ht="18.5" x14ac:dyDescent="0.45">
      <c r="A19" s="72">
        <f>IF(F19&lt;&gt;"",(LARGE(A$8:A18,1)+1),"")</f>
        <v>3</v>
      </c>
      <c r="B19" s="163" t="s">
        <v>177</v>
      </c>
      <c r="C19" s="165">
        <v>813</v>
      </c>
      <c r="D19" s="164">
        <v>2134</v>
      </c>
      <c r="E19" s="135">
        <v>2</v>
      </c>
      <c r="F19" s="49" t="s">
        <v>12</v>
      </c>
      <c r="G19" s="46">
        <f t="shared" ref="G19" si="6">I19+J19+L19+K19</f>
        <v>0</v>
      </c>
      <c r="H19" s="180">
        <f>G19*E19</f>
        <v>0</v>
      </c>
      <c r="I19" s="57">
        <v>0</v>
      </c>
      <c r="J19" s="46"/>
      <c r="K19" s="46">
        <f>IF(F19=0," ",(I19)*(Details!$C$4+Details!$C$8))</f>
        <v>0</v>
      </c>
      <c r="L19" s="180">
        <f>IF(F19=0," ",(J19)*(Details!$C$6+Details!$C$8))</f>
        <v>0</v>
      </c>
      <c r="M19" s="57">
        <f t="shared" ref="M19" si="7">+I19*E19</f>
        <v>0</v>
      </c>
      <c r="N19" s="46">
        <f t="shared" ref="N19" si="8">+J19*E19</f>
        <v>0</v>
      </c>
      <c r="O19" s="46">
        <f t="shared" ref="O19" si="9">IF(F19=0," ",(K19*E19))</f>
        <v>0</v>
      </c>
      <c r="P19" s="180">
        <f t="shared" ref="P19" si="10">IF(F19=0," ",(L19*E19))</f>
        <v>0</v>
      </c>
      <c r="Q19" s="30"/>
      <c r="R19" s="30"/>
      <c r="S19" s="30"/>
      <c r="T19" s="30"/>
      <c r="U19" s="30"/>
      <c r="V19" s="30"/>
    </row>
    <row r="20" spans="1:24" s="21" customFormat="1" ht="18.5" x14ac:dyDescent="0.45">
      <c r="A20" s="72" t="str">
        <f>IF(F20&lt;&gt;"",(LARGE(A$8:A19,1)+1),"")</f>
        <v/>
      </c>
      <c r="B20" s="163"/>
      <c r="C20" s="158"/>
      <c r="D20" s="158"/>
      <c r="E20" s="135"/>
      <c r="F20" s="49"/>
      <c r="G20" s="46"/>
      <c r="H20" s="180"/>
      <c r="I20" s="57"/>
      <c r="J20" s="46"/>
      <c r="K20" s="46"/>
      <c r="L20" s="180"/>
      <c r="M20" s="46"/>
      <c r="N20" s="46"/>
      <c r="O20" s="46"/>
      <c r="P20" s="180"/>
      <c r="Q20" s="30"/>
      <c r="R20" s="30"/>
      <c r="S20" s="30"/>
      <c r="T20" s="30"/>
      <c r="U20" s="30"/>
      <c r="V20" s="16"/>
    </row>
    <row r="21" spans="1:24" s="21" customFormat="1" ht="37" x14ac:dyDescent="0.45">
      <c r="A21" s="72" t="str">
        <f>IF(F21&lt;&gt;"",(LARGE(A$8:A20,1)+1),"")</f>
        <v/>
      </c>
      <c r="B21" s="159" t="s">
        <v>164</v>
      </c>
      <c r="C21" s="160" t="s">
        <v>57</v>
      </c>
      <c r="D21" s="160" t="s">
        <v>58</v>
      </c>
      <c r="E21" s="135"/>
      <c r="F21" s="49"/>
      <c r="G21" s="46"/>
      <c r="H21" s="180"/>
      <c r="I21" s="57"/>
      <c r="J21" s="46"/>
      <c r="K21" s="46" t="str">
        <f>IF(F21=0," ",(I21)*(Details!$C$4+Details!$C$8))</f>
        <v xml:space="preserve"> </v>
      </c>
      <c r="L21" s="180" t="str">
        <f>IF(F21=0," ",(J21)*(Details!$C$6+Details!$C$8))</f>
        <v xml:space="preserve"> </v>
      </c>
      <c r="M21" s="57"/>
      <c r="N21" s="46"/>
      <c r="O21" s="46" t="str">
        <f t="shared" ref="O21" si="11">IF(F21=0," ",(K21*E21))</f>
        <v xml:space="preserve"> </v>
      </c>
      <c r="P21" s="180" t="str">
        <f t="shared" ref="P21" si="12">IF(F21=0," ",(L21*E21))</f>
        <v xml:space="preserve"> </v>
      </c>
      <c r="Q21" s="30"/>
      <c r="R21" s="30"/>
      <c r="S21" s="30"/>
      <c r="T21" s="30"/>
      <c r="U21" s="30"/>
      <c r="V21" s="16"/>
    </row>
    <row r="22" spans="1:24" s="21" customFormat="1" ht="18.5" x14ac:dyDescent="0.45">
      <c r="A22" s="72" t="str">
        <f>IF(F22&lt;&gt;"",(LARGE(A$8:A21,1)+1),"")</f>
        <v/>
      </c>
      <c r="B22" s="163"/>
      <c r="C22" s="158"/>
      <c r="D22" s="164"/>
      <c r="E22" s="135"/>
      <c r="F22" s="49"/>
      <c r="G22" s="46"/>
      <c r="H22" s="180"/>
      <c r="I22" s="57"/>
      <c r="J22" s="162"/>
      <c r="K22" s="46"/>
      <c r="L22" s="180"/>
      <c r="M22" s="46"/>
      <c r="N22" s="46"/>
      <c r="O22" s="46"/>
      <c r="P22" s="180"/>
      <c r="Q22" s="30"/>
      <c r="R22" s="30"/>
      <c r="S22" s="30"/>
      <c r="T22" s="30"/>
      <c r="U22" s="30"/>
      <c r="V22" s="16"/>
    </row>
    <row r="23" spans="1:24" s="21" customFormat="1" ht="18.5" x14ac:dyDescent="0.45">
      <c r="A23" s="72">
        <f>IF(F23&lt;&gt;"",(LARGE(A$8:A22,1)+1),"")</f>
        <v>4</v>
      </c>
      <c r="B23" s="166" t="s">
        <v>176</v>
      </c>
      <c r="C23" s="165">
        <v>1800</v>
      </c>
      <c r="D23" s="164">
        <v>1800</v>
      </c>
      <c r="E23" s="135">
        <v>3</v>
      </c>
      <c r="F23" s="49" t="s">
        <v>12</v>
      </c>
      <c r="G23" s="46">
        <f t="shared" ref="G23" si="13">I23+J23+L23+K23</f>
        <v>0</v>
      </c>
      <c r="H23" s="180">
        <f>G23*E23</f>
        <v>0</v>
      </c>
      <c r="I23" s="57">
        <v>0</v>
      </c>
      <c r="J23" s="46"/>
      <c r="K23" s="46">
        <f>IF(F23=0," ",(I23)*(Details!$C$4+Details!$C$8))</f>
        <v>0</v>
      </c>
      <c r="L23" s="180">
        <f>IF(F23=0," ",(J23)*(Details!$C$6+Details!$C$8))</f>
        <v>0</v>
      </c>
      <c r="M23" s="57">
        <f t="shared" ref="M23" si="14">+I23*E23</f>
        <v>0</v>
      </c>
      <c r="N23" s="46">
        <f t="shared" ref="N23" si="15">+J23*E23</f>
        <v>0</v>
      </c>
      <c r="O23" s="46">
        <f t="shared" ref="O23" si="16">IF(F23=0," ",(K23*E23))</f>
        <v>0</v>
      </c>
      <c r="P23" s="180">
        <f t="shared" ref="P23" si="17">IF(F23=0," ",(L23*E23))</f>
        <v>0</v>
      </c>
      <c r="Q23" s="30"/>
      <c r="R23" s="30"/>
      <c r="S23" s="30"/>
      <c r="T23" s="30"/>
      <c r="U23" s="30"/>
      <c r="V23" s="30"/>
    </row>
    <row r="24" spans="1:24" s="21" customFormat="1" ht="18.5" x14ac:dyDescent="0.45">
      <c r="A24" s="72" t="str">
        <f>IF(F24&lt;&gt;"",(LARGE(A$8:A23,1)+1),"")</f>
        <v/>
      </c>
      <c r="B24" s="163"/>
      <c r="C24" s="158"/>
      <c r="D24" s="164"/>
      <c r="E24" s="135"/>
      <c r="F24" s="49"/>
      <c r="G24" s="46"/>
      <c r="H24" s="180"/>
      <c r="I24" s="57"/>
      <c r="J24" s="46"/>
      <c r="K24" s="46"/>
      <c r="L24" s="180"/>
      <c r="M24" s="46"/>
      <c r="N24" s="46"/>
      <c r="O24" s="46"/>
      <c r="P24" s="180"/>
      <c r="Q24" s="30"/>
      <c r="R24" s="30"/>
      <c r="S24" s="30"/>
      <c r="T24" s="30"/>
      <c r="U24" s="30"/>
      <c r="V24" s="16"/>
    </row>
    <row r="25" spans="1:24" s="21" customFormat="1" ht="18.5" x14ac:dyDescent="0.45">
      <c r="A25" s="72">
        <f>IF(F25&lt;&gt;"",(LARGE(A$8:A24,1)+1),"")</f>
        <v>5</v>
      </c>
      <c r="B25" s="166" t="s">
        <v>176</v>
      </c>
      <c r="C25" s="158">
        <v>800</v>
      </c>
      <c r="D25" s="164">
        <v>1800</v>
      </c>
      <c r="E25" s="135">
        <v>1</v>
      </c>
      <c r="F25" s="49" t="s">
        <v>12</v>
      </c>
      <c r="G25" s="46">
        <f t="shared" ref="G25" si="18">I25+J25+L25+K25</f>
        <v>0</v>
      </c>
      <c r="H25" s="180">
        <f>G25*E25</f>
        <v>0</v>
      </c>
      <c r="I25" s="57">
        <v>0</v>
      </c>
      <c r="J25" s="46"/>
      <c r="K25" s="46">
        <f>IF(F25=0," ",(I25)*(Details!$C$4+Details!$C$8))</f>
        <v>0</v>
      </c>
      <c r="L25" s="180">
        <f>IF(F25=0," ",(J25)*(Details!$C$6+Details!$C$8))</f>
        <v>0</v>
      </c>
      <c r="M25" s="57">
        <f t="shared" ref="M25" si="19">+I25*E25</f>
        <v>0</v>
      </c>
      <c r="N25" s="46">
        <f t="shared" ref="N25" si="20">+J25*E25</f>
        <v>0</v>
      </c>
      <c r="O25" s="46">
        <f t="shared" ref="O25" si="21">IF(F25=0," ",(K25*E25))</f>
        <v>0</v>
      </c>
      <c r="P25" s="180">
        <f t="shared" ref="P25" si="22">IF(F25=0," ",(L25*E25))</f>
        <v>0</v>
      </c>
      <c r="Q25" s="30"/>
      <c r="R25" s="30"/>
      <c r="S25" s="30"/>
      <c r="T25" s="30"/>
      <c r="U25" s="30"/>
      <c r="V25" s="16"/>
    </row>
    <row r="26" spans="1:24" s="21" customFormat="1" ht="18.5" x14ac:dyDescent="0.45">
      <c r="A26" s="72" t="str">
        <f>IF(F26&lt;&gt;"",(LARGE(A$8:A25,1)+1),"")</f>
        <v/>
      </c>
      <c r="B26" s="163"/>
      <c r="C26" s="158"/>
      <c r="D26" s="164"/>
      <c r="E26" s="135"/>
      <c r="F26" s="49"/>
      <c r="G26" s="46"/>
      <c r="H26" s="180"/>
      <c r="I26" s="57"/>
      <c r="J26" s="46"/>
      <c r="K26" s="46"/>
      <c r="L26" s="180"/>
      <c r="M26" s="46"/>
      <c r="N26" s="46"/>
      <c r="O26" s="46"/>
      <c r="P26" s="180"/>
      <c r="Q26" s="30"/>
      <c r="R26" s="30"/>
      <c r="S26" s="30"/>
      <c r="T26" s="30"/>
      <c r="U26" s="30"/>
      <c r="V26" s="16"/>
    </row>
    <row r="27" spans="1:24" s="21" customFormat="1" ht="18.5" x14ac:dyDescent="0.45">
      <c r="A27" s="72" t="str">
        <f>IF(F27&lt;&gt;"",(LARGE(A$8:A26,1)+1),"")</f>
        <v/>
      </c>
      <c r="B27" s="166"/>
      <c r="C27" s="165"/>
      <c r="D27" s="167"/>
      <c r="E27" s="135"/>
      <c r="F27" s="49"/>
      <c r="G27" s="46"/>
      <c r="H27" s="180"/>
      <c r="I27" s="194"/>
      <c r="J27" s="20"/>
      <c r="K27" s="46"/>
      <c r="L27" s="180"/>
      <c r="M27" s="46"/>
      <c r="N27" s="46"/>
      <c r="O27" s="46"/>
      <c r="P27" s="180"/>
      <c r="Q27" s="67"/>
      <c r="R27" s="70">
        <f>+H29-M29-N29-P29-O29</f>
        <v>0</v>
      </c>
      <c r="S27" s="67"/>
      <c r="T27" s="67"/>
      <c r="U27" s="66"/>
    </row>
    <row r="28" spans="1:24" s="21" customFormat="1" ht="18.5" x14ac:dyDescent="0.45">
      <c r="A28" s="72" t="str">
        <f>IF(F28&lt;&gt;"",(LARGE(A$8:A27,1)+1),"")</f>
        <v/>
      </c>
      <c r="B28" s="163"/>
      <c r="C28" s="158"/>
      <c r="D28" s="167"/>
      <c r="E28" s="135"/>
      <c r="F28" s="49"/>
      <c r="G28" s="46"/>
      <c r="H28" s="180"/>
      <c r="I28" s="194"/>
      <c r="J28" s="20"/>
      <c r="K28" s="46" t="str">
        <f>IF(F28=0," ",(I28)*(Details!$C$4+Details!$C$8))</f>
        <v xml:space="preserve"> </v>
      </c>
      <c r="L28" s="180" t="str">
        <f>IF(F28=0," ",(J28)*(Details!$C$6+Details!$C$8))</f>
        <v xml:space="preserve"> </v>
      </c>
      <c r="M28" s="57"/>
      <c r="N28" s="46"/>
      <c r="O28" s="46"/>
      <c r="P28" s="180"/>
      <c r="Q28" s="67"/>
      <c r="R28" s="67"/>
      <c r="S28" s="67"/>
      <c r="T28" s="67"/>
      <c r="U28" s="66"/>
    </row>
    <row r="29" spans="1:24" s="21" customFormat="1" ht="18" customHeight="1" thickBot="1" x14ac:dyDescent="0.5">
      <c r="A29" s="72" t="str">
        <f>IF(F29=0," ",(LARGE(A$13:A28,1)+1))</f>
        <v xml:space="preserve"> </v>
      </c>
      <c r="B29" s="166"/>
      <c r="C29" s="165"/>
      <c r="D29" s="168"/>
      <c r="E29" s="135"/>
      <c r="F29" s="58"/>
      <c r="G29" s="60" t="s">
        <v>80</v>
      </c>
      <c r="H29" s="181">
        <f>SUM(H1:H28)</f>
        <v>0</v>
      </c>
      <c r="I29" s="194"/>
      <c r="J29" s="20"/>
      <c r="K29" s="20"/>
      <c r="L29" s="180" t="str">
        <f>IF(F29=0," ",(I29+J29)*(Details!$C$4+Details!$C$6))</f>
        <v xml:space="preserve"> </v>
      </c>
      <c r="M29" s="225">
        <f>SUM(M4:M28)</f>
        <v>0</v>
      </c>
      <c r="N29" s="226">
        <f>SUM(N4:N28)</f>
        <v>0</v>
      </c>
      <c r="O29" s="226">
        <f>SUM(O4:O28)</f>
        <v>0</v>
      </c>
      <c r="P29" s="181">
        <f>SUM(P9:P28)</f>
        <v>0</v>
      </c>
      <c r="Q29" s="67"/>
      <c r="R29" s="67"/>
      <c r="S29" s="67"/>
      <c r="T29" s="67"/>
      <c r="U29" s="67"/>
      <c r="V29" s="67"/>
    </row>
    <row r="30" spans="1:24" s="21" customFormat="1" ht="19.5" thickTop="1" thickBot="1" x14ac:dyDescent="0.5">
      <c r="A30" s="48"/>
      <c r="B30" s="169"/>
      <c r="C30" s="170"/>
      <c r="D30" s="171"/>
      <c r="E30" s="146"/>
      <c r="F30" s="61"/>
      <c r="G30" s="63"/>
      <c r="H30" s="182"/>
      <c r="I30" s="195"/>
      <c r="J30" s="54"/>
      <c r="K30" s="54"/>
      <c r="L30" s="65" t="str">
        <f>IF(F30=0," ",(I30+J30)*(Details!$C$4+Details!$C$6))</f>
        <v xml:space="preserve"> </v>
      </c>
      <c r="M30" s="54"/>
      <c r="N30" s="54"/>
      <c r="O30" s="54"/>
      <c r="P30" s="173"/>
      <c r="Q30" s="67"/>
      <c r="R30" s="67"/>
      <c r="S30" s="67"/>
      <c r="T30" s="67"/>
      <c r="U30" s="67"/>
      <c r="V30" s="68"/>
    </row>
    <row r="31" spans="1:24" s="21" customFormat="1" x14ac:dyDescent="0.35">
      <c r="A31" s="16"/>
      <c r="B31" s="16"/>
      <c r="C31" s="68"/>
      <c r="D31" s="68"/>
      <c r="E31" s="30"/>
      <c r="F31" s="16"/>
      <c r="G31" s="20"/>
      <c r="H31" s="20"/>
      <c r="I31" s="20"/>
      <c r="J31" s="20"/>
      <c r="K31" s="20"/>
      <c r="L31" s="16"/>
      <c r="M31" s="16"/>
      <c r="N31" s="16"/>
      <c r="O31" s="16"/>
      <c r="P31" s="16"/>
      <c r="Q31" s="67"/>
      <c r="R31" s="67"/>
      <c r="S31" s="67"/>
      <c r="T31" s="67"/>
      <c r="U31" s="67"/>
      <c r="V31" s="68"/>
      <c r="W31" s="16"/>
      <c r="X31" s="16"/>
    </row>
    <row r="32" spans="1:24" s="21" customFormat="1" x14ac:dyDescent="0.35">
      <c r="A32" s="16"/>
      <c r="B32" s="16"/>
      <c r="C32" s="68"/>
      <c r="D32" s="68"/>
      <c r="E32" s="30"/>
      <c r="F32" s="16"/>
      <c r="G32" s="20"/>
      <c r="H32" s="20"/>
      <c r="I32" s="20"/>
      <c r="J32" s="20"/>
      <c r="K32" s="20"/>
      <c r="L32" s="16"/>
      <c r="M32" s="16"/>
      <c r="N32" s="16"/>
      <c r="O32" s="16"/>
      <c r="P32" s="16"/>
      <c r="Q32" s="67"/>
      <c r="R32" s="67"/>
      <c r="S32" s="67"/>
      <c r="T32" s="67"/>
      <c r="U32" s="30"/>
      <c r="V32" s="16"/>
      <c r="W32" s="16"/>
      <c r="X32" s="16"/>
    </row>
    <row r="33" spans="1:24" s="21" customFormat="1" x14ac:dyDescent="0.35">
      <c r="A33" s="16"/>
      <c r="B33" s="16"/>
      <c r="C33" s="68"/>
      <c r="D33" s="68"/>
      <c r="E33" s="30"/>
      <c r="F33" s="16"/>
      <c r="G33" s="20"/>
      <c r="H33" s="20"/>
      <c r="I33" s="20"/>
      <c r="J33" s="20"/>
      <c r="K33" s="20"/>
      <c r="L33" s="16"/>
      <c r="M33" s="16"/>
      <c r="N33" s="16"/>
      <c r="O33" s="16"/>
      <c r="P33" s="16"/>
      <c r="Q33" s="67"/>
      <c r="R33" s="67"/>
      <c r="S33" s="67"/>
      <c r="T33" s="67"/>
      <c r="U33" s="30"/>
      <c r="V33" s="16"/>
      <c r="W33" s="16"/>
      <c r="X33" s="16"/>
    </row>
    <row r="34" spans="1:24" s="21" customFormat="1" x14ac:dyDescent="0.35">
      <c r="A34" s="16"/>
      <c r="B34" s="16"/>
      <c r="C34" s="68"/>
      <c r="D34" s="68"/>
      <c r="E34" s="30"/>
      <c r="F34" s="16"/>
      <c r="G34" s="20"/>
      <c r="H34" s="20"/>
      <c r="I34" s="20"/>
      <c r="J34" s="20"/>
      <c r="K34" s="20"/>
      <c r="L34" s="16"/>
      <c r="M34" s="16"/>
      <c r="N34" s="16"/>
      <c r="O34" s="16"/>
      <c r="P34" s="16"/>
      <c r="Q34" s="67"/>
      <c r="R34" s="67"/>
      <c r="S34" s="67"/>
      <c r="T34" s="67"/>
      <c r="U34" s="30"/>
      <c r="V34" s="16"/>
      <c r="W34" s="16"/>
      <c r="X34" s="16"/>
    </row>
  </sheetData>
  <mergeCells count="2">
    <mergeCell ref="M6:P6"/>
    <mergeCell ref="I6:L6"/>
  </mergeCells>
  <conditionalFormatting sqref="I9:I10437">
    <cfRule type="notContainsBlanks" dxfId="178" priority="2">
      <formula>LEN(TRIM(I9))&gt;0</formula>
    </cfRule>
  </conditionalFormatting>
  <conditionalFormatting sqref="J17:J23 J27:J28 K27">
    <cfRule type="notContainsBlanks" dxfId="177" priority="25">
      <formula>LEN(TRIM(J17))&gt;0</formula>
    </cfRule>
  </conditionalFormatting>
  <conditionalFormatting sqref="J25">
    <cfRule type="notContainsBlanks" dxfId="176" priority="23">
      <formula>LEN(TRIM(J25))&gt;0</formula>
    </cfRule>
  </conditionalFormatting>
  <conditionalFormatting sqref="J9:K14 J15 J16:K16 K20 K22 J24:K24 J26:K26 J29:K10527">
    <cfRule type="notContainsBlanks" dxfId="175" priority="41">
      <formula>LEN(TRIM(J9))&gt;0</formula>
    </cfRule>
  </conditionalFormatting>
  <conditionalFormatting sqref="R27">
    <cfRule type="cellIs" dxfId="174" priority="37" operator="equal">
      <formula>0</formula>
    </cfRule>
    <cfRule type="cellIs" dxfId="173" priority="38" operator="notBetween">
      <formula>-0.01</formula>
      <formula>0.01</formula>
    </cfRule>
  </conditionalFormatting>
  <dataValidations count="1">
    <dataValidation type="list" allowBlank="1" showInputMessage="1" showErrorMessage="1" sqref="R2:S2" xr:uid="{00000000-0002-0000-0900-000000000000}">
      <formula1>"UPVC,Aluminium,Timber,Composite,Crittall, Multiple"</formula1>
    </dataValidation>
  </dataValidations>
  <printOptions horizontalCentered="1"/>
  <pageMargins left="0.70866141732283461" right="0.70866141732283461" top="0.31496062992125984" bottom="0.62992125984251968" header="0.31496062992125984" footer="0.31496062992125984"/>
  <pageSetup paperSize="9" scale="65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P155"/>
  <sheetViews>
    <sheetView zoomScale="70" zoomScaleNormal="70" workbookViewId="0">
      <selection activeCell="B9" sqref="B9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0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7"/>
      <c r="B1" s="23"/>
      <c r="C1" s="29"/>
      <c r="D1" s="24"/>
      <c r="E1" s="31"/>
      <c r="F1" s="32"/>
      <c r="G1" s="31"/>
      <c r="H1" s="31"/>
      <c r="I1" s="31"/>
      <c r="J1" s="24"/>
    </row>
    <row r="2" spans="1:14" x14ac:dyDescent="0.35">
      <c r="A2" s="15"/>
      <c r="B2" s="3" t="str">
        <f>+'Qual, Excl &amp; Assum'!B2</f>
        <v>PROJECT:EXTERNAL AND INTERNAL REFURBISHMENT OF EXISTING APARTMENTS</v>
      </c>
      <c r="F2" s="33"/>
    </row>
    <row r="3" spans="1:14" x14ac:dyDescent="0.35">
      <c r="A3" s="15"/>
      <c r="B3" s="51" t="str">
        <f>+'Qual, Excl &amp; Assum'!B3</f>
        <v>DATE: 29TH OCTOBER 2025</v>
      </c>
      <c r="F3" s="33"/>
    </row>
    <row r="4" spans="1:14" s="21" customFormat="1" ht="16" thickBot="1" x14ac:dyDescent="0.4">
      <c r="A4" s="15"/>
      <c r="B4" s="22"/>
      <c r="C4" s="30"/>
      <c r="E4" s="34"/>
      <c r="F4" s="35"/>
      <c r="G4" s="34"/>
      <c r="H4" s="34"/>
      <c r="I4" s="34"/>
      <c r="K4" s="20"/>
      <c r="L4" s="20"/>
      <c r="M4" s="20"/>
    </row>
    <row r="5" spans="1:14" s="21" customFormat="1" ht="38.25" customHeight="1" thickBot="1" x14ac:dyDescent="0.4">
      <c r="A5" s="186"/>
      <c r="B5" s="187" t="s">
        <v>23</v>
      </c>
      <c r="C5" s="188"/>
      <c r="D5" s="189"/>
      <c r="E5" s="190"/>
      <c r="F5" s="196"/>
      <c r="G5" s="344" t="s">
        <v>102</v>
      </c>
      <c r="H5" s="344"/>
      <c r="I5" s="344"/>
      <c r="J5" s="345"/>
      <c r="K5" s="343" t="s">
        <v>103</v>
      </c>
      <c r="L5" s="344"/>
      <c r="M5" s="344"/>
      <c r="N5" s="345"/>
    </row>
    <row r="6" spans="1:14" s="21" customFormat="1" ht="18.5" x14ac:dyDescent="0.45">
      <c r="A6" s="47"/>
      <c r="B6" s="36"/>
      <c r="C6" s="135"/>
      <c r="D6" s="36"/>
      <c r="E6" s="62"/>
      <c r="F6" s="178"/>
      <c r="G6" s="62"/>
      <c r="H6" s="62"/>
      <c r="I6" s="62"/>
      <c r="J6" s="183"/>
      <c r="K6" s="194"/>
      <c r="L6" s="20"/>
      <c r="M6" s="20"/>
      <c r="N6" s="25"/>
    </row>
    <row r="7" spans="1:14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4" s="21" customFormat="1" ht="18.5" x14ac:dyDescent="0.45">
      <c r="A8" s="47"/>
      <c r="B8" s="147"/>
      <c r="C8" s="138"/>
      <c r="D8" s="59"/>
      <c r="E8" s="60"/>
      <c r="F8" s="179"/>
      <c r="G8" s="57"/>
      <c r="H8" s="46"/>
      <c r="I8" s="46"/>
      <c r="J8" s="184"/>
      <c r="K8" s="194"/>
      <c r="L8" s="20"/>
      <c r="M8" s="20"/>
      <c r="N8" s="180" t="str">
        <f t="shared" ref="N8" si="0">IF(D8=0," ",(J8*C8))</f>
        <v xml:space="preserve"> </v>
      </c>
    </row>
    <row r="9" spans="1:14" s="21" customFormat="1" ht="18.5" x14ac:dyDescent="0.45">
      <c r="A9" s="47"/>
      <c r="B9" s="153" t="s">
        <v>18</v>
      </c>
      <c r="C9" s="135"/>
      <c r="D9" s="49"/>
      <c r="E9" s="46"/>
      <c r="F9" s="180"/>
      <c r="G9" s="57"/>
      <c r="H9" s="46"/>
      <c r="I9" s="46"/>
      <c r="J9" s="180"/>
      <c r="K9" s="194"/>
      <c r="L9" s="20"/>
      <c r="M9" s="20"/>
      <c r="N9" s="180"/>
    </row>
    <row r="10" spans="1:14" s="21" customFormat="1" ht="18.5" x14ac:dyDescent="0.45">
      <c r="A10" s="47"/>
      <c r="B10" s="141"/>
      <c r="C10" s="135"/>
      <c r="D10" s="49"/>
      <c r="E10" s="46"/>
      <c r="F10" s="180"/>
      <c r="G10" s="57"/>
      <c r="H10" s="46"/>
      <c r="I10" s="46"/>
      <c r="J10" s="180"/>
      <c r="K10" s="194"/>
      <c r="L10" s="20"/>
      <c r="M10" s="20"/>
      <c r="N10" s="180"/>
    </row>
    <row r="11" spans="1:14" s="21" customFormat="1" ht="18.5" x14ac:dyDescent="0.45">
      <c r="A11" s="47"/>
      <c r="B11" s="153" t="s">
        <v>215</v>
      </c>
      <c r="C11" s="135"/>
      <c r="D11" s="49"/>
      <c r="E11" s="46"/>
      <c r="F11" s="180"/>
      <c r="G11" s="57"/>
      <c r="H11" s="46"/>
      <c r="I11" s="46"/>
      <c r="J11" s="180"/>
      <c r="K11" s="194"/>
      <c r="L11" s="20"/>
      <c r="M11" s="20"/>
      <c r="N11" s="180"/>
    </row>
    <row r="12" spans="1:14" s="21" customFormat="1" ht="18.5" x14ac:dyDescent="0.45">
      <c r="A12" s="47"/>
      <c r="B12" s="141"/>
      <c r="C12" s="135"/>
      <c r="D12" s="49"/>
      <c r="E12" s="46"/>
      <c r="F12" s="180"/>
      <c r="G12" s="57"/>
      <c r="H12" s="46"/>
      <c r="I12" s="46"/>
      <c r="J12" s="180"/>
      <c r="K12" s="194"/>
      <c r="L12" s="20"/>
      <c r="M12" s="20"/>
      <c r="N12" s="180"/>
    </row>
    <row r="13" spans="1:14" s="21" customFormat="1" ht="18.5" x14ac:dyDescent="0.45">
      <c r="A13" s="47">
        <v>1</v>
      </c>
      <c r="B13" s="141" t="s">
        <v>216</v>
      </c>
      <c r="C13" s="135">
        <f>47*2.74</f>
        <v>128.78</v>
      </c>
      <c r="D13" s="49" t="s">
        <v>10</v>
      </c>
      <c r="E13" s="46">
        <f>G13+H13+J13+I13</f>
        <v>0</v>
      </c>
      <c r="F13" s="180">
        <f>E13*C13</f>
        <v>0</v>
      </c>
      <c r="G13" s="57">
        <v>0</v>
      </c>
      <c r="H13" s="46">
        <v>0</v>
      </c>
      <c r="I13" s="46">
        <f>IF(D13=0," ",(G13)*(Details!$C$4+Details!$C$8))</f>
        <v>0</v>
      </c>
      <c r="J13" s="180">
        <f>IF(D13=0," ",(H13)*(Details!$C$6+Details!$C$8))</f>
        <v>0</v>
      </c>
      <c r="K13" s="57">
        <f>+G13*C13</f>
        <v>0</v>
      </c>
      <c r="L13" s="46">
        <f>+H13*C13</f>
        <v>0</v>
      </c>
      <c r="M13" s="46">
        <f>IF(D13=0," ",(I13*C13))</f>
        <v>0</v>
      </c>
      <c r="N13" s="180">
        <f>IF(D13=0," ",(J13*C13))</f>
        <v>0</v>
      </c>
    </row>
    <row r="14" spans="1:14" s="21" customFormat="1" ht="18.5" x14ac:dyDescent="0.45">
      <c r="A14" s="47"/>
      <c r="B14" s="141"/>
      <c r="C14" s="135"/>
      <c r="D14" s="49"/>
      <c r="E14" s="46"/>
      <c r="F14" s="180"/>
      <c r="G14" s="57"/>
      <c r="H14" s="46"/>
      <c r="I14" s="46"/>
      <c r="J14" s="180"/>
      <c r="K14" s="194"/>
      <c r="L14" s="20"/>
      <c r="M14" s="20"/>
      <c r="N14" s="180"/>
    </row>
    <row r="15" spans="1:14" s="21" customFormat="1" ht="18.5" x14ac:dyDescent="0.45">
      <c r="A15" s="72">
        <f>IF(F15&lt;&gt;"",(LARGE(A$7:A14,1)+1),"")</f>
        <v>2</v>
      </c>
      <c r="B15" s="141" t="s">
        <v>218</v>
      </c>
      <c r="C15" s="135">
        <f>C13</f>
        <v>128.78</v>
      </c>
      <c r="D15" s="49" t="s">
        <v>10</v>
      </c>
      <c r="E15" s="46">
        <f t="shared" ref="E15" si="1">G15+H15+J15+I15</f>
        <v>0</v>
      </c>
      <c r="F15" s="180">
        <f>E15*C15</f>
        <v>0</v>
      </c>
      <c r="G15" s="57">
        <v>0</v>
      </c>
      <c r="H15" s="46">
        <v>0</v>
      </c>
      <c r="I15" s="46">
        <f>IF(D15=0," ",(G15)*(Details!$C$4+Details!$C$8))</f>
        <v>0</v>
      </c>
      <c r="J15" s="180">
        <f>IF(D15=0," ",(H15)*(Details!$C$6+Details!$C$8))</f>
        <v>0</v>
      </c>
      <c r="K15" s="57">
        <f t="shared" ref="K15" si="2">+G15*C15</f>
        <v>0</v>
      </c>
      <c r="L15" s="46">
        <f t="shared" ref="L15" si="3">+H15*C15</f>
        <v>0</v>
      </c>
      <c r="M15" s="46">
        <f t="shared" ref="M15" si="4">IF(D15=0," ",(I15*C15))</f>
        <v>0</v>
      </c>
      <c r="N15" s="180">
        <f t="shared" ref="N15" si="5">IF(D15=0," ",(J15*C15))</f>
        <v>0</v>
      </c>
    </row>
    <row r="16" spans="1:14" s="21" customFormat="1" ht="18.5" x14ac:dyDescent="0.45">
      <c r="A16" s="72" t="str">
        <f>IF(F16&lt;&gt;"",(LARGE(A$7:A15,1)+1),"")</f>
        <v/>
      </c>
      <c r="B16" s="141"/>
      <c r="C16" s="135"/>
      <c r="D16" s="58"/>
      <c r="E16" s="46"/>
      <c r="F16" s="180"/>
      <c r="G16" s="57"/>
      <c r="H16" s="46"/>
      <c r="I16" s="46"/>
      <c r="J16" s="180"/>
      <c r="K16" s="194"/>
      <c r="L16" s="20"/>
      <c r="M16" s="20"/>
      <c r="N16" s="180"/>
    </row>
    <row r="17" spans="1:14" s="21" customFormat="1" ht="18.5" x14ac:dyDescent="0.45">
      <c r="A17" s="72">
        <f>IF(F17&lt;&gt;"",(LARGE(A$7:A16,1)+1),"")</f>
        <v>3</v>
      </c>
      <c r="B17" s="141" t="s">
        <v>217</v>
      </c>
      <c r="C17" s="135">
        <f>47*2.74</f>
        <v>128.78</v>
      </c>
      <c r="D17" s="49" t="s">
        <v>10</v>
      </c>
      <c r="E17" s="46">
        <f t="shared" ref="E17" si="6">G17+H17+J17+I17</f>
        <v>0</v>
      </c>
      <c r="F17" s="180">
        <f>E17*C17</f>
        <v>0</v>
      </c>
      <c r="G17" s="57">
        <v>0</v>
      </c>
      <c r="H17" s="46">
        <v>0</v>
      </c>
      <c r="I17" s="46">
        <f>IF(D17=0," ",(G17)*(Details!$C$4+Details!$C$8))</f>
        <v>0</v>
      </c>
      <c r="J17" s="180">
        <f>IF(D17=0," ",(H17)*(Details!$C$6+Details!$C$8))</f>
        <v>0</v>
      </c>
      <c r="K17" s="57">
        <f t="shared" ref="K17" si="7">+G17*C17</f>
        <v>0</v>
      </c>
      <c r="L17" s="46">
        <f t="shared" ref="L17" si="8">+H17*C17</f>
        <v>0</v>
      </c>
      <c r="M17" s="46">
        <f t="shared" ref="M17" si="9">IF(D17=0," ",(I17*C17))</f>
        <v>0</v>
      </c>
      <c r="N17" s="180">
        <f t="shared" ref="N17" si="10">IF(D17=0," ",(J17*C17))</f>
        <v>0</v>
      </c>
    </row>
    <row r="18" spans="1:14" s="21" customFormat="1" ht="18.5" x14ac:dyDescent="0.45">
      <c r="A18" s="72" t="str">
        <f>IF(F18&lt;&gt;"",(LARGE(A$7:A17,1)+1),"")</f>
        <v/>
      </c>
      <c r="B18" s="141"/>
      <c r="C18" s="135"/>
      <c r="D18" s="58"/>
      <c r="E18" s="46"/>
      <c r="F18" s="180"/>
      <c r="G18" s="57"/>
      <c r="H18" s="46"/>
      <c r="I18" s="46"/>
      <c r="J18" s="180"/>
      <c r="K18" s="194"/>
      <c r="L18" s="20"/>
      <c r="M18" s="20"/>
      <c r="N18" s="180"/>
    </row>
    <row r="19" spans="1:14" s="21" customFormat="1" ht="18.5" x14ac:dyDescent="0.45">
      <c r="A19" s="72">
        <f>IF(F19&lt;&gt;"",(LARGE(A$7:A18,1)+1),"")</f>
        <v>4</v>
      </c>
      <c r="B19" s="141" t="s">
        <v>219</v>
      </c>
      <c r="C19" s="135">
        <f>C17</f>
        <v>128.78</v>
      </c>
      <c r="D19" s="49" t="s">
        <v>10</v>
      </c>
      <c r="E19" s="46">
        <f t="shared" ref="E19" si="11">G19+H19+J19+I19</f>
        <v>0</v>
      </c>
      <c r="F19" s="180">
        <f>E19*C19</f>
        <v>0</v>
      </c>
      <c r="G19" s="57">
        <v>0</v>
      </c>
      <c r="H19" s="46">
        <v>0</v>
      </c>
      <c r="I19" s="46">
        <f>IF(D19=0," ",(G19)*(Details!$C$4+Details!$C$8))</f>
        <v>0</v>
      </c>
      <c r="J19" s="180">
        <f>IF(D19=0," ",(H19)*(Details!$C$6+Details!$C$8))</f>
        <v>0</v>
      </c>
      <c r="K19" s="57">
        <f t="shared" ref="K19" si="12">+G19*C19</f>
        <v>0</v>
      </c>
      <c r="L19" s="46">
        <f t="shared" ref="L19" si="13">+H19*C19</f>
        <v>0</v>
      </c>
      <c r="M19" s="46">
        <f t="shared" ref="M19" si="14">IF(D19=0," ",(I19*C19))</f>
        <v>0</v>
      </c>
      <c r="N19" s="180">
        <f t="shared" ref="N19" si="15">IF(D19=0," ",(J19*C19))</f>
        <v>0</v>
      </c>
    </row>
    <row r="20" spans="1:14" s="21" customFormat="1" ht="18.5" x14ac:dyDescent="0.45">
      <c r="A20" s="72" t="str">
        <f>IF(F20&lt;&gt;"",(LARGE(A$7:A19,1)+1),"")</f>
        <v/>
      </c>
      <c r="B20" s="141"/>
      <c r="C20" s="135"/>
      <c r="D20" s="58"/>
      <c r="E20" s="46"/>
      <c r="F20" s="180"/>
      <c r="G20" s="57"/>
      <c r="H20" s="46"/>
      <c r="I20" s="46"/>
      <c r="J20" s="180"/>
      <c r="K20" s="194"/>
      <c r="L20" s="20"/>
      <c r="M20" s="20"/>
      <c r="N20" s="180"/>
    </row>
    <row r="21" spans="1:14" s="21" customFormat="1" ht="18.5" x14ac:dyDescent="0.45">
      <c r="A21" s="72" t="str">
        <f>IF(F21&lt;&gt;"",(LARGE(A$7:A20,1)+1),"")</f>
        <v/>
      </c>
      <c r="B21" s="153" t="s">
        <v>220</v>
      </c>
      <c r="C21" s="135"/>
      <c r="D21" s="58"/>
      <c r="E21" s="46"/>
      <c r="F21" s="180"/>
      <c r="G21" s="57"/>
      <c r="H21" s="46"/>
      <c r="I21" s="46"/>
      <c r="J21" s="180"/>
      <c r="K21" s="194"/>
      <c r="L21" s="20"/>
      <c r="M21" s="20"/>
      <c r="N21" s="180"/>
    </row>
    <row r="22" spans="1:14" s="21" customFormat="1" ht="18.5" x14ac:dyDescent="0.45">
      <c r="A22" s="72" t="str">
        <f>IF(F22&lt;&gt;"",(LARGE(A$7:A21,1)+1),"")</f>
        <v/>
      </c>
      <c r="B22" s="141"/>
      <c r="C22" s="135"/>
      <c r="D22" s="58"/>
      <c r="E22" s="46"/>
      <c r="F22" s="180"/>
      <c r="G22" s="57"/>
      <c r="H22" s="46"/>
      <c r="I22" s="46"/>
      <c r="J22" s="180"/>
      <c r="K22" s="194"/>
      <c r="L22" s="20"/>
      <c r="M22" s="20"/>
      <c r="N22" s="180"/>
    </row>
    <row r="23" spans="1:14" s="21" customFormat="1" ht="18.5" x14ac:dyDescent="0.45">
      <c r="A23" s="72">
        <f>IF(F23&lt;&gt;"",(LARGE(A$7:A22,1)+1),"")</f>
        <v>5</v>
      </c>
      <c r="B23" s="141" t="s">
        <v>216</v>
      </c>
      <c r="C23" s="135">
        <f>30*2.74</f>
        <v>82.2</v>
      </c>
      <c r="D23" s="49" t="s">
        <v>10</v>
      </c>
      <c r="E23" s="46">
        <f t="shared" ref="E23" si="16">G23+H23+J23+I23</f>
        <v>0</v>
      </c>
      <c r="F23" s="180">
        <f>E23*C23</f>
        <v>0</v>
      </c>
      <c r="G23" s="57">
        <v>0</v>
      </c>
      <c r="H23" s="46">
        <v>0</v>
      </c>
      <c r="I23" s="46">
        <f>IF(D23=0," ",(G23)*(Details!$C$4+Details!$C$8))</f>
        <v>0</v>
      </c>
      <c r="J23" s="180">
        <f>IF(D23=0," ",(H23)*(Details!$C$6+Details!$C$8))</f>
        <v>0</v>
      </c>
      <c r="K23" s="57">
        <f t="shared" ref="K23" si="17">+G23*C23</f>
        <v>0</v>
      </c>
      <c r="L23" s="46">
        <f t="shared" ref="L23" si="18">+H23*C23</f>
        <v>0</v>
      </c>
      <c r="M23" s="46">
        <f t="shared" ref="M23" si="19">IF(D23=0," ",(I23*C23))</f>
        <v>0</v>
      </c>
      <c r="N23" s="180">
        <f t="shared" ref="N23" si="20">IF(D23=0," ",(J23*C23))</f>
        <v>0</v>
      </c>
    </row>
    <row r="24" spans="1:14" s="21" customFormat="1" ht="18.5" x14ac:dyDescent="0.45">
      <c r="A24" s="72" t="str">
        <f>IF(F24&lt;&gt;"",(LARGE(A$7:A23,1)+1),"")</f>
        <v/>
      </c>
      <c r="B24" s="141"/>
      <c r="C24" s="135"/>
      <c r="D24" s="58"/>
      <c r="E24" s="46"/>
      <c r="F24" s="180"/>
      <c r="G24" s="57"/>
      <c r="H24" s="46"/>
      <c r="I24" s="46"/>
      <c r="J24" s="180"/>
      <c r="K24" s="194"/>
      <c r="L24" s="20"/>
      <c r="M24" s="20"/>
      <c r="N24" s="180"/>
    </row>
    <row r="25" spans="1:14" s="21" customFormat="1" ht="18.5" x14ac:dyDescent="0.45">
      <c r="A25" s="72">
        <f>IF(F25&lt;&gt;"",(LARGE(A$7:A24,1)+1),"")</f>
        <v>6</v>
      </c>
      <c r="B25" s="141" t="s">
        <v>218</v>
      </c>
      <c r="C25" s="135">
        <f>C23</f>
        <v>82.2</v>
      </c>
      <c r="D25" s="49" t="s">
        <v>10</v>
      </c>
      <c r="E25" s="46">
        <f t="shared" ref="E25" si="21">G25+H25+J25+I25</f>
        <v>0</v>
      </c>
      <c r="F25" s="180">
        <f>E25*C25</f>
        <v>0</v>
      </c>
      <c r="G25" s="57">
        <v>0</v>
      </c>
      <c r="H25" s="46">
        <v>0</v>
      </c>
      <c r="I25" s="46">
        <f>IF(D25=0," ",(G25)*(Details!$C$4+Details!$C$8))</f>
        <v>0</v>
      </c>
      <c r="J25" s="180">
        <f>IF(D25=0," ",(H25)*(Details!$C$6+Details!$C$8))</f>
        <v>0</v>
      </c>
      <c r="K25" s="57">
        <f t="shared" ref="K25" si="22">+G25*C25</f>
        <v>0</v>
      </c>
      <c r="L25" s="46">
        <f t="shared" ref="L25" si="23">+H25*C25</f>
        <v>0</v>
      </c>
      <c r="M25" s="46">
        <f t="shared" ref="M25" si="24">IF(D25=0," ",(I25*C25))</f>
        <v>0</v>
      </c>
      <c r="N25" s="180">
        <f t="shared" ref="N25" si="25">IF(D25=0," ",(J25*C25))</f>
        <v>0</v>
      </c>
    </row>
    <row r="26" spans="1:14" s="21" customFormat="1" ht="18.5" x14ac:dyDescent="0.45">
      <c r="A26" s="72" t="str">
        <f>IF(F26&lt;&gt;"",(LARGE(A$7:A25,1)+1),"")</f>
        <v/>
      </c>
      <c r="B26" s="141"/>
      <c r="C26" s="135"/>
      <c r="D26" s="58"/>
      <c r="E26" s="46"/>
      <c r="F26" s="180"/>
      <c r="G26" s="57"/>
      <c r="H26" s="46"/>
      <c r="I26" s="46"/>
      <c r="J26" s="180"/>
      <c r="K26" s="194"/>
      <c r="L26" s="20"/>
      <c r="M26" s="20"/>
      <c r="N26" s="180"/>
    </row>
    <row r="27" spans="1:14" s="21" customFormat="1" ht="18.5" x14ac:dyDescent="0.45">
      <c r="A27" s="72">
        <f>IF(F27&lt;&gt;"",(LARGE(A$7:A26,1)+1),"")</f>
        <v>7</v>
      </c>
      <c r="B27" s="141" t="s">
        <v>221</v>
      </c>
      <c r="C27" s="135">
        <f>C25</f>
        <v>82.2</v>
      </c>
      <c r="D27" s="49" t="s">
        <v>10</v>
      </c>
      <c r="E27" s="46">
        <f t="shared" ref="E27" si="26">G27+H27+J27+I27</f>
        <v>0</v>
      </c>
      <c r="F27" s="180">
        <f>E27*C27</f>
        <v>0</v>
      </c>
      <c r="G27" s="57">
        <v>0</v>
      </c>
      <c r="H27" s="46">
        <v>0</v>
      </c>
      <c r="I27" s="46">
        <f>IF(D27=0," ",(G27)*(Details!$C$4+Details!$C$8))</f>
        <v>0</v>
      </c>
      <c r="J27" s="180">
        <f>IF(D27=0," ",(H27)*(Details!$C$6+Details!$C$8))</f>
        <v>0</v>
      </c>
      <c r="K27" s="57">
        <f t="shared" ref="K27" si="27">+G27*C27</f>
        <v>0</v>
      </c>
      <c r="L27" s="46">
        <f t="shared" ref="L27" si="28">+H27*C27</f>
        <v>0</v>
      </c>
      <c r="M27" s="46">
        <f t="shared" ref="M27" si="29">IF(D27=0," ",(I27*C27))</f>
        <v>0</v>
      </c>
      <c r="N27" s="180">
        <f t="shared" ref="N27" si="30">IF(D27=0," ",(J27*C27))</f>
        <v>0</v>
      </c>
    </row>
    <row r="28" spans="1:14" s="21" customFormat="1" ht="18.5" x14ac:dyDescent="0.45">
      <c r="A28" s="72" t="str">
        <f>IF(F28&lt;&gt;"",(LARGE(A$7:A27,1)+1),"")</f>
        <v/>
      </c>
      <c r="B28" s="141"/>
      <c r="C28" s="135"/>
      <c r="D28" s="58"/>
      <c r="E28" s="46"/>
      <c r="F28" s="180"/>
      <c r="G28" s="57"/>
      <c r="H28" s="46"/>
      <c r="I28" s="46"/>
      <c r="J28" s="180"/>
      <c r="K28" s="194"/>
      <c r="L28" s="20"/>
      <c r="M28" s="20"/>
      <c r="N28" s="180"/>
    </row>
    <row r="29" spans="1:14" s="21" customFormat="1" ht="18.5" x14ac:dyDescent="0.45">
      <c r="A29" s="72">
        <f>IF(F29&lt;&gt;"",(LARGE(A$7:A28,1)+1),"")</f>
        <v>8</v>
      </c>
      <c r="B29" s="141" t="s">
        <v>219</v>
      </c>
      <c r="C29" s="135">
        <f>C27</f>
        <v>82.2</v>
      </c>
      <c r="D29" s="49" t="s">
        <v>10</v>
      </c>
      <c r="E29" s="46">
        <f t="shared" ref="E29" si="31">G29+H29+J29+I29</f>
        <v>0</v>
      </c>
      <c r="F29" s="180">
        <f>E29*C29</f>
        <v>0</v>
      </c>
      <c r="G29" s="57">
        <v>0</v>
      </c>
      <c r="H29" s="46">
        <v>0</v>
      </c>
      <c r="I29" s="46">
        <f>IF(D29=0," ",(G29)*(Details!$C$4+Details!$C$8))</f>
        <v>0</v>
      </c>
      <c r="J29" s="180">
        <f>IF(D29=0," ",(H29)*(Details!$C$6+Details!$C$8))</f>
        <v>0</v>
      </c>
      <c r="K29" s="57">
        <f t="shared" ref="K29" si="32">+G29*C29</f>
        <v>0</v>
      </c>
      <c r="L29" s="46">
        <f t="shared" ref="L29" si="33">+H29*C29</f>
        <v>0</v>
      </c>
      <c r="M29" s="46">
        <f t="shared" ref="M29" si="34">IF(D29=0," ",(I29*C29))</f>
        <v>0</v>
      </c>
      <c r="N29" s="180">
        <f t="shared" ref="N29" si="35">IF(D29=0," ",(J29*C29))</f>
        <v>0</v>
      </c>
    </row>
    <row r="30" spans="1:14" s="21" customFormat="1" ht="18.5" x14ac:dyDescent="0.45">
      <c r="A30" s="72" t="str">
        <f>IF(F30&lt;&gt;"",(LARGE(A$7:A29,1)+1),"")</f>
        <v/>
      </c>
      <c r="B30" s="141"/>
      <c r="C30" s="135"/>
      <c r="D30" s="58"/>
      <c r="E30" s="46"/>
      <c r="F30" s="180"/>
      <c r="G30" s="57"/>
      <c r="H30" s="46"/>
      <c r="I30" s="46"/>
      <c r="J30" s="180"/>
      <c r="K30" s="194"/>
      <c r="L30" s="20"/>
      <c r="M30" s="20"/>
      <c r="N30" s="180"/>
    </row>
    <row r="31" spans="1:14" s="21" customFormat="1" ht="18.5" x14ac:dyDescent="0.45">
      <c r="A31" s="72" t="str">
        <f>IF(F31&lt;&gt;"",(LARGE(A$7:A30,1)+1),"")</f>
        <v/>
      </c>
      <c r="B31" s="141"/>
      <c r="C31" s="135"/>
      <c r="D31" s="58"/>
      <c r="E31" s="46"/>
      <c r="F31" s="180"/>
      <c r="G31" s="57"/>
      <c r="H31" s="46"/>
      <c r="I31" s="46"/>
      <c r="J31" s="180"/>
      <c r="K31" s="194"/>
      <c r="L31" s="20"/>
      <c r="M31" s="20"/>
      <c r="N31" s="180"/>
    </row>
    <row r="32" spans="1:14" s="21" customFormat="1" ht="18.5" x14ac:dyDescent="0.45">
      <c r="A32" s="72" t="str">
        <f>IF(F32&lt;&gt;"",(LARGE(A$7:A31,1)+1),"")</f>
        <v/>
      </c>
      <c r="B32" s="153" t="s">
        <v>222</v>
      </c>
      <c r="C32" s="135"/>
      <c r="D32" s="49"/>
      <c r="E32" s="46"/>
      <c r="F32" s="180"/>
      <c r="G32" s="57"/>
      <c r="H32" s="46"/>
      <c r="I32" s="46" t="str">
        <f>IF(D32=0," ",(G32)*(Details!$C$4+Details!$C$8))</f>
        <v xml:space="preserve"> </v>
      </c>
      <c r="J32" s="180" t="str">
        <f>IF(D32=0," ",(H32)*(Details!$C$6+Details!$C$8))</f>
        <v xml:space="preserve"> </v>
      </c>
      <c r="K32" s="57"/>
      <c r="L32" s="46"/>
      <c r="M32" s="46" t="str">
        <f t="shared" ref="M32" si="36">IF(D32=0," ",(I32*C32))</f>
        <v xml:space="preserve"> </v>
      </c>
      <c r="N32" s="180" t="str">
        <f t="shared" ref="N32" si="37">IF(D32=0," ",(J32*C32))</f>
        <v xml:space="preserve"> </v>
      </c>
    </row>
    <row r="33" spans="1:14" s="21" customFormat="1" ht="18.5" x14ac:dyDescent="0.45">
      <c r="A33" s="72" t="str">
        <f>IF(F33&lt;&gt;"",(LARGE(A$7:A32,1)+1),"")</f>
        <v/>
      </c>
      <c r="B33" s="147"/>
      <c r="C33" s="135"/>
      <c r="D33" s="49"/>
      <c r="E33" s="46"/>
      <c r="F33" s="180"/>
      <c r="G33" s="57"/>
      <c r="H33" s="46"/>
      <c r="I33" s="46"/>
      <c r="J33" s="180"/>
      <c r="K33" s="194"/>
      <c r="L33" s="20"/>
      <c r="M33" s="20"/>
      <c r="N33" s="180"/>
    </row>
    <row r="34" spans="1:14" s="21" customFormat="1" ht="18.5" x14ac:dyDescent="0.45">
      <c r="A34" s="72">
        <f>IF(F34&lt;&gt;"",(LARGE(A$7:A33,1)+1),"")</f>
        <v>9</v>
      </c>
      <c r="B34" s="141" t="s">
        <v>223</v>
      </c>
      <c r="C34" s="135">
        <f>8*2.74</f>
        <v>21.92</v>
      </c>
      <c r="D34" s="49" t="s">
        <v>10</v>
      </c>
      <c r="E34" s="46">
        <f t="shared" ref="E34" si="38">G34+H34+J34+I34</f>
        <v>0</v>
      </c>
      <c r="F34" s="180">
        <f>E34*C34</f>
        <v>0</v>
      </c>
      <c r="G34" s="57">
        <v>0</v>
      </c>
      <c r="H34" s="46">
        <v>0</v>
      </c>
      <c r="I34" s="46">
        <f>IF(D34=0," ",(G34)*(Details!$C$4+Details!$C$8))</f>
        <v>0</v>
      </c>
      <c r="J34" s="180">
        <f>IF(D34=0," ",(H34)*(Details!$C$6+Details!$C$8))</f>
        <v>0</v>
      </c>
      <c r="K34" s="57">
        <f t="shared" ref="K34" si="39">+G34*C34</f>
        <v>0</v>
      </c>
      <c r="L34" s="46">
        <f t="shared" ref="L34" si="40">+H34*C34</f>
        <v>0</v>
      </c>
      <c r="M34" s="46">
        <f t="shared" ref="M34" si="41">IF(D34=0," ",(I34*C34))</f>
        <v>0</v>
      </c>
      <c r="N34" s="180">
        <f t="shared" ref="N34" si="42">IF(D34=0," ",(J34*C34))</f>
        <v>0</v>
      </c>
    </row>
    <row r="35" spans="1:14" s="21" customFormat="1" ht="18.5" x14ac:dyDescent="0.45">
      <c r="A35" s="72" t="str">
        <f>IF(F35&lt;&gt;"",(LARGE(A$7:A34,1)+1),"")</f>
        <v/>
      </c>
      <c r="B35" s="141"/>
      <c r="C35" s="135"/>
      <c r="D35" s="49"/>
      <c r="E35" s="46"/>
      <c r="F35" s="180"/>
      <c r="G35" s="57"/>
      <c r="H35" s="46"/>
      <c r="I35" s="46"/>
      <c r="J35" s="180"/>
      <c r="K35" s="57"/>
      <c r="L35" s="46"/>
      <c r="M35" s="46"/>
      <c r="N35" s="180"/>
    </row>
    <row r="36" spans="1:14" s="21" customFormat="1" ht="18.5" x14ac:dyDescent="0.45">
      <c r="A36" s="72">
        <f>IF(F36&lt;&gt;"",(LARGE(A$7:A35,1)+1),"")</f>
        <v>10</v>
      </c>
      <c r="B36" s="141" t="s">
        <v>218</v>
      </c>
      <c r="C36" s="135">
        <f>C34</f>
        <v>21.92</v>
      </c>
      <c r="D36" s="49" t="s">
        <v>10</v>
      </c>
      <c r="E36" s="46">
        <f t="shared" ref="E36" si="43">G36+H36+J36+I36</f>
        <v>0</v>
      </c>
      <c r="F36" s="180">
        <f>E36*C36</f>
        <v>0</v>
      </c>
      <c r="G36" s="57">
        <v>0</v>
      </c>
      <c r="H36" s="46">
        <v>0</v>
      </c>
      <c r="I36" s="46">
        <f>IF(D36=0," ",(G36)*(Details!$C$4+Details!$C$8))</f>
        <v>0</v>
      </c>
      <c r="J36" s="180">
        <f>IF(D36=0," ",(H36)*(Details!$C$6+Details!$C$8))</f>
        <v>0</v>
      </c>
      <c r="K36" s="57">
        <f t="shared" ref="K36" si="44">+G36*C36</f>
        <v>0</v>
      </c>
      <c r="L36" s="46">
        <f t="shared" ref="L36" si="45">+H36*C36</f>
        <v>0</v>
      </c>
      <c r="M36" s="46">
        <f t="shared" ref="M36" si="46">IF(D36=0," ",(I36*C36))</f>
        <v>0</v>
      </c>
      <c r="N36" s="180">
        <f t="shared" ref="N36" si="47">IF(D36=0," ",(J36*C36))</f>
        <v>0</v>
      </c>
    </row>
    <row r="37" spans="1:14" s="21" customFormat="1" ht="18.5" x14ac:dyDescent="0.45">
      <c r="A37" s="72" t="str">
        <f>IF(F37&lt;&gt;"",(LARGE(A$7:A36,1)+1),"")</f>
        <v/>
      </c>
      <c r="B37" s="141"/>
      <c r="C37" s="135"/>
      <c r="D37" s="49"/>
      <c r="E37" s="46"/>
      <c r="F37" s="180"/>
      <c r="G37" s="57"/>
      <c r="H37" s="46"/>
      <c r="I37" s="46"/>
      <c r="J37" s="180"/>
      <c r="K37" s="57"/>
      <c r="L37" s="46"/>
      <c r="M37" s="46"/>
      <c r="N37" s="180"/>
    </row>
    <row r="38" spans="1:14" s="21" customFormat="1" ht="18.5" x14ac:dyDescent="0.45">
      <c r="A38" s="72">
        <f>IF(F38&lt;&gt;"",(LARGE(A$7:A37,1)+1),"")</f>
        <v>11</v>
      </c>
      <c r="B38" s="141" t="s">
        <v>221</v>
      </c>
      <c r="C38" s="135">
        <f>C36</f>
        <v>21.92</v>
      </c>
      <c r="D38" s="49" t="s">
        <v>10</v>
      </c>
      <c r="E38" s="46">
        <f t="shared" ref="E38" si="48">G38+H38+J38+I38</f>
        <v>0</v>
      </c>
      <c r="F38" s="180">
        <f>E38*C38</f>
        <v>0</v>
      </c>
      <c r="G38" s="57">
        <v>0</v>
      </c>
      <c r="H38" s="46">
        <v>0</v>
      </c>
      <c r="I38" s="46">
        <f>IF(D38=0," ",(G38)*(Details!$C$4+Details!$C$8))</f>
        <v>0</v>
      </c>
      <c r="J38" s="180">
        <f>IF(D38=0," ",(H38)*(Details!$C$6+Details!$C$8))</f>
        <v>0</v>
      </c>
      <c r="K38" s="57">
        <f t="shared" ref="K38" si="49">+G38*C38</f>
        <v>0</v>
      </c>
      <c r="L38" s="46">
        <f t="shared" ref="L38" si="50">+H38*C38</f>
        <v>0</v>
      </c>
      <c r="M38" s="46">
        <f t="shared" ref="M38" si="51">IF(D38=0," ",(I38*C38))</f>
        <v>0</v>
      </c>
      <c r="N38" s="180">
        <f t="shared" ref="N38" si="52">IF(D38=0," ",(J38*C38))</f>
        <v>0</v>
      </c>
    </row>
    <row r="39" spans="1:14" s="21" customFormat="1" ht="18.5" x14ac:dyDescent="0.45">
      <c r="A39" s="72" t="str">
        <f>IF(F39&lt;&gt;"",(LARGE(A$7:A38,1)+1),"")</f>
        <v/>
      </c>
      <c r="B39" s="141"/>
      <c r="C39" s="135"/>
      <c r="D39" s="49"/>
      <c r="E39" s="46"/>
      <c r="F39" s="180"/>
      <c r="G39" s="57"/>
      <c r="H39" s="46"/>
      <c r="I39" s="46"/>
      <c r="J39" s="180"/>
      <c r="K39" s="57"/>
      <c r="L39" s="46"/>
      <c r="M39" s="46"/>
      <c r="N39" s="180"/>
    </row>
    <row r="40" spans="1:14" s="21" customFormat="1" ht="18.5" x14ac:dyDescent="0.45">
      <c r="A40" s="72">
        <f>IF(F40&lt;&gt;"",(LARGE(A$7:A39,1)+1),"")</f>
        <v>12</v>
      </c>
      <c r="B40" s="141" t="s">
        <v>219</v>
      </c>
      <c r="C40" s="135">
        <f>C38</f>
        <v>21.92</v>
      </c>
      <c r="D40" s="49" t="s">
        <v>10</v>
      </c>
      <c r="E40" s="46">
        <f t="shared" ref="E40" si="53">G40+H40+J40+I40</f>
        <v>0</v>
      </c>
      <c r="F40" s="180">
        <f>E40*C40</f>
        <v>0</v>
      </c>
      <c r="G40" s="57">
        <v>0</v>
      </c>
      <c r="H40" s="46">
        <v>0</v>
      </c>
      <c r="I40" s="46">
        <f>IF(D40=0," ",(G40)*(Details!$C$4+Details!$C$8))</f>
        <v>0</v>
      </c>
      <c r="J40" s="180">
        <f>IF(D40=0," ",(H40)*(Details!$C$6+Details!$C$8))</f>
        <v>0</v>
      </c>
      <c r="K40" s="57">
        <f t="shared" ref="K40" si="54">+G40*C40</f>
        <v>0</v>
      </c>
      <c r="L40" s="46">
        <f t="shared" ref="L40" si="55">+H40*C40</f>
        <v>0</v>
      </c>
      <c r="M40" s="46">
        <f t="shared" ref="M40" si="56">IF(D40=0," ",(I40*C40))</f>
        <v>0</v>
      </c>
      <c r="N40" s="180">
        <f t="shared" ref="N40" si="57">IF(D40=0," ",(J40*C40))</f>
        <v>0</v>
      </c>
    </row>
    <row r="41" spans="1:14" s="21" customFormat="1" ht="18.5" x14ac:dyDescent="0.45">
      <c r="A41" s="72" t="str">
        <f>IF(F41&lt;&gt;"",(LARGE(A$7:A40,1)+1),"")</f>
        <v/>
      </c>
      <c r="B41" s="141"/>
      <c r="C41" s="135"/>
      <c r="D41" s="49"/>
      <c r="E41" s="46"/>
      <c r="F41" s="180"/>
      <c r="G41" s="57"/>
      <c r="H41" s="46"/>
      <c r="I41" s="46"/>
      <c r="J41" s="180"/>
      <c r="K41" s="57"/>
      <c r="L41" s="46"/>
      <c r="M41" s="46"/>
      <c r="N41" s="180"/>
    </row>
    <row r="42" spans="1:14" s="21" customFormat="1" ht="18.5" x14ac:dyDescent="0.45">
      <c r="A42" s="72" t="str">
        <f>IF(F42&lt;&gt;"",(LARGE(A$7:A41,1)+1),"")</f>
        <v/>
      </c>
      <c r="B42" s="153" t="s">
        <v>224</v>
      </c>
      <c r="C42" s="135"/>
      <c r="D42" s="49"/>
      <c r="E42" s="46"/>
      <c r="F42" s="180"/>
      <c r="G42" s="57"/>
      <c r="H42" s="46"/>
      <c r="I42" s="46"/>
      <c r="J42" s="180"/>
      <c r="K42" s="57"/>
      <c r="L42" s="46"/>
      <c r="M42" s="46"/>
      <c r="N42" s="180"/>
    </row>
    <row r="43" spans="1:14" s="21" customFormat="1" ht="18.5" x14ac:dyDescent="0.45">
      <c r="A43" s="72" t="str">
        <f>IF(F43&lt;&gt;"",(LARGE(A$7:A42,1)+1),"")</f>
        <v/>
      </c>
      <c r="B43" s="141"/>
      <c r="C43" s="135"/>
      <c r="D43" s="49"/>
      <c r="E43" s="46"/>
      <c r="F43" s="180"/>
      <c r="G43" s="57"/>
      <c r="H43" s="46"/>
      <c r="I43" s="46"/>
      <c r="J43" s="180"/>
      <c r="K43" s="57"/>
      <c r="L43" s="46"/>
      <c r="M43" s="46"/>
      <c r="N43" s="180"/>
    </row>
    <row r="44" spans="1:14" s="21" customFormat="1" ht="18.5" x14ac:dyDescent="0.45">
      <c r="A44" s="72">
        <f>IF(F44&lt;&gt;"",(LARGE(A$7:A43,1)+1),"")</f>
        <v>13</v>
      </c>
      <c r="B44" s="141" t="s">
        <v>225</v>
      </c>
      <c r="C44" s="135">
        <f>4*2.74</f>
        <v>10.96</v>
      </c>
      <c r="D44" s="49" t="s">
        <v>10</v>
      </c>
      <c r="E44" s="46">
        <f t="shared" ref="E44" si="58">G44+H44+J44+I44</f>
        <v>0</v>
      </c>
      <c r="F44" s="180">
        <f>E44*C44</f>
        <v>0</v>
      </c>
      <c r="G44" s="57">
        <v>0</v>
      </c>
      <c r="H44" s="46">
        <v>0</v>
      </c>
      <c r="I44" s="46">
        <f>IF(D44=0," ",(G44)*(Details!$C$4+Details!$C$8))</f>
        <v>0</v>
      </c>
      <c r="J44" s="180">
        <f>IF(D44=0," ",(H44)*(Details!$C$6+Details!$C$8))</f>
        <v>0</v>
      </c>
      <c r="K44" s="57">
        <f t="shared" ref="K44" si="59">+G44*C44</f>
        <v>0</v>
      </c>
      <c r="L44" s="46">
        <f t="shared" ref="L44" si="60">+H44*C44</f>
        <v>0</v>
      </c>
      <c r="M44" s="46">
        <f t="shared" ref="M44" si="61">IF(D44=0," ",(I44*C44))</f>
        <v>0</v>
      </c>
      <c r="N44" s="180">
        <f t="shared" ref="N44" si="62">IF(D44=0," ",(J44*C44))</f>
        <v>0</v>
      </c>
    </row>
    <row r="45" spans="1:14" s="21" customFormat="1" ht="18.5" x14ac:dyDescent="0.45">
      <c r="A45" s="72" t="str">
        <f>IF(F45&lt;&gt;"",(LARGE(A$7:A44,1)+1),"")</f>
        <v/>
      </c>
      <c r="B45" s="141"/>
      <c r="C45" s="135"/>
      <c r="D45" s="49"/>
      <c r="E45" s="46"/>
      <c r="F45" s="180"/>
      <c r="G45" s="57"/>
      <c r="H45" s="46"/>
      <c r="I45" s="46"/>
      <c r="J45" s="180"/>
      <c r="K45" s="57"/>
      <c r="L45" s="46"/>
      <c r="M45" s="46"/>
      <c r="N45" s="180"/>
    </row>
    <row r="46" spans="1:14" s="21" customFormat="1" ht="18.5" x14ac:dyDescent="0.45">
      <c r="A46" s="72">
        <f>IF(F46&lt;&gt;"",(LARGE(A$7:A45,1)+1),"")</f>
        <v>14</v>
      </c>
      <c r="B46" s="141" t="s">
        <v>226</v>
      </c>
      <c r="C46" s="135">
        <v>4</v>
      </c>
      <c r="D46" s="49" t="s">
        <v>13</v>
      </c>
      <c r="E46" s="46">
        <f t="shared" ref="E46" si="63">G46+H46+J46+I46</f>
        <v>0</v>
      </c>
      <c r="F46" s="180">
        <f>E46*C46</f>
        <v>0</v>
      </c>
      <c r="G46" s="57">
        <v>0</v>
      </c>
      <c r="H46" s="46">
        <v>0</v>
      </c>
      <c r="I46" s="46">
        <f>IF(D46=0," ",(G46)*(Details!$C$4+Details!$C$8))</f>
        <v>0</v>
      </c>
      <c r="J46" s="180">
        <f>IF(D46=0," ",(H46)*(Details!$C$6+Details!$C$8))</f>
        <v>0</v>
      </c>
      <c r="K46" s="57">
        <f t="shared" ref="K46" si="64">+G46*C46</f>
        <v>0</v>
      </c>
      <c r="L46" s="46">
        <f t="shared" ref="L46" si="65">+H46*C46</f>
        <v>0</v>
      </c>
      <c r="M46" s="46">
        <f t="shared" ref="M46" si="66">IF(D46=0," ",(I46*C46))</f>
        <v>0</v>
      </c>
      <c r="N46" s="180">
        <f t="shared" ref="N46" si="67">IF(D46=0," ",(J46*C46))</f>
        <v>0</v>
      </c>
    </row>
    <row r="47" spans="1:14" s="21" customFormat="1" ht="18.5" x14ac:dyDescent="0.45">
      <c r="A47" s="72" t="str">
        <f>IF(F47&lt;&gt;"",(LARGE(A$7:A46,1)+1),"")</f>
        <v/>
      </c>
      <c r="B47" s="141"/>
      <c r="C47" s="135"/>
      <c r="D47" s="49"/>
      <c r="E47" s="46"/>
      <c r="F47" s="180"/>
      <c r="G47" s="57"/>
      <c r="H47" s="46"/>
      <c r="I47" s="46"/>
      <c r="J47" s="180"/>
      <c r="K47" s="57"/>
      <c r="L47" s="46"/>
      <c r="M47" s="46"/>
      <c r="N47" s="180"/>
    </row>
    <row r="48" spans="1:14" s="21" customFormat="1" ht="18.5" x14ac:dyDescent="0.45">
      <c r="A48" s="72">
        <f>IF(F48&lt;&gt;"",(LARGE(A$7:A47,1)+1),"")</f>
        <v>15</v>
      </c>
      <c r="B48" s="141" t="s">
        <v>218</v>
      </c>
      <c r="C48" s="135">
        <f>C44</f>
        <v>10.96</v>
      </c>
      <c r="D48" s="49" t="s">
        <v>10</v>
      </c>
      <c r="E48" s="46">
        <f t="shared" ref="E48" si="68">G48+H48+J48+I48</f>
        <v>0</v>
      </c>
      <c r="F48" s="180">
        <f>E48*C48</f>
        <v>0</v>
      </c>
      <c r="G48" s="57">
        <v>0</v>
      </c>
      <c r="H48" s="46">
        <v>0</v>
      </c>
      <c r="I48" s="46">
        <f>IF(D48=0," ",(G48)*(Details!$C$4+Details!$C$8))</f>
        <v>0</v>
      </c>
      <c r="J48" s="180">
        <f>IF(D48=0," ",(H48)*(Details!$C$6+Details!$C$8))</f>
        <v>0</v>
      </c>
      <c r="K48" s="57">
        <f t="shared" ref="K48" si="69">+G48*C48</f>
        <v>0</v>
      </c>
      <c r="L48" s="46">
        <f t="shared" ref="L48" si="70">+H48*C48</f>
        <v>0</v>
      </c>
      <c r="M48" s="46">
        <f t="shared" ref="M48" si="71">IF(D48=0," ",(I48*C48))</f>
        <v>0</v>
      </c>
      <c r="N48" s="180">
        <f t="shared" ref="N48" si="72">IF(D48=0," ",(J48*C48))</f>
        <v>0</v>
      </c>
    </row>
    <row r="49" spans="1:14" s="21" customFormat="1" ht="18.5" x14ac:dyDescent="0.45">
      <c r="A49" s="72" t="str">
        <f>IF(F49&lt;&gt;"",(LARGE(A$7:A48,1)+1),"")</f>
        <v/>
      </c>
      <c r="B49" s="141"/>
      <c r="C49" s="135"/>
      <c r="D49" s="49"/>
      <c r="E49" s="46"/>
      <c r="F49" s="180"/>
      <c r="G49" s="57"/>
      <c r="H49" s="46"/>
      <c r="I49" s="46"/>
      <c r="J49" s="180"/>
      <c r="K49" s="57"/>
      <c r="L49" s="46"/>
      <c r="M49" s="46"/>
      <c r="N49" s="180"/>
    </row>
    <row r="50" spans="1:14" s="21" customFormat="1" ht="18.5" x14ac:dyDescent="0.45">
      <c r="A50" s="72">
        <f>IF(F50&lt;&gt;"",(LARGE(A$7:A49,1)+1),"")</f>
        <v>16</v>
      </c>
      <c r="B50" s="141" t="s">
        <v>221</v>
      </c>
      <c r="C50" s="135">
        <f>4*2.74*2</f>
        <v>21.92</v>
      </c>
      <c r="D50" s="49" t="s">
        <v>10</v>
      </c>
      <c r="E50" s="46">
        <f t="shared" ref="E50" si="73">G50+H50+J50+I50</f>
        <v>0</v>
      </c>
      <c r="F50" s="180">
        <f>E50*C50</f>
        <v>0</v>
      </c>
      <c r="G50" s="57">
        <v>0</v>
      </c>
      <c r="H50" s="46">
        <v>0</v>
      </c>
      <c r="I50" s="46">
        <f>IF(D50=0," ",(G50)*(Details!$C$4+Details!$C$8))</f>
        <v>0</v>
      </c>
      <c r="J50" s="180">
        <f>IF(D50=0," ",(H50)*(Details!$C$6+Details!$C$8))</f>
        <v>0</v>
      </c>
      <c r="K50" s="57">
        <f t="shared" ref="K50" si="74">+G50*C50</f>
        <v>0</v>
      </c>
      <c r="L50" s="46">
        <f t="shared" ref="L50" si="75">+H50*C50</f>
        <v>0</v>
      </c>
      <c r="M50" s="46">
        <f t="shared" ref="M50" si="76">IF(D50=0," ",(I50*C50))</f>
        <v>0</v>
      </c>
      <c r="N50" s="180">
        <f t="shared" ref="N50" si="77">IF(D50=0," ",(J50*C50))</f>
        <v>0</v>
      </c>
    </row>
    <row r="51" spans="1:14" s="21" customFormat="1" ht="18.5" x14ac:dyDescent="0.45">
      <c r="A51" s="72" t="str">
        <f>IF(F51&lt;&gt;"",(LARGE(A$7:A50,1)+1),"")</f>
        <v/>
      </c>
      <c r="B51" s="141"/>
      <c r="C51" s="135"/>
      <c r="D51" s="49"/>
      <c r="E51" s="46"/>
      <c r="F51" s="180"/>
      <c r="G51" s="57"/>
      <c r="H51" s="46"/>
      <c r="I51" s="46"/>
      <c r="J51" s="180"/>
      <c r="K51" s="57"/>
      <c r="L51" s="46"/>
      <c r="M51" s="46"/>
      <c r="N51" s="180"/>
    </row>
    <row r="52" spans="1:14" s="21" customFormat="1" ht="18.5" x14ac:dyDescent="0.45">
      <c r="A52" s="72">
        <f>IF(F52&lt;&gt;"",(LARGE(A$7:A51,1)+1),"")</f>
        <v>17</v>
      </c>
      <c r="B52" s="141" t="s">
        <v>227</v>
      </c>
      <c r="C52" s="135">
        <f>C48</f>
        <v>10.96</v>
      </c>
      <c r="D52" s="49" t="s">
        <v>10</v>
      </c>
      <c r="E52" s="46">
        <f t="shared" ref="E52" si="78">G52+H52+J52+I52</f>
        <v>0</v>
      </c>
      <c r="F52" s="180">
        <f>E52*C52</f>
        <v>0</v>
      </c>
      <c r="G52" s="57">
        <v>0</v>
      </c>
      <c r="H52" s="46">
        <v>0</v>
      </c>
      <c r="I52" s="46">
        <f>IF(D52=0," ",(G52)*(Details!$C$4+Details!$C$8))</f>
        <v>0</v>
      </c>
      <c r="J52" s="180">
        <f>IF(D52=0," ",(H52)*(Details!$C$6+Details!$C$8))</f>
        <v>0</v>
      </c>
      <c r="K52" s="57">
        <f t="shared" ref="K52" si="79">+G52*C52</f>
        <v>0</v>
      </c>
      <c r="L52" s="46">
        <f t="shared" ref="L52" si="80">+H52*C52</f>
        <v>0</v>
      </c>
      <c r="M52" s="46">
        <f t="shared" ref="M52" si="81">IF(D52=0," ",(I52*C52))</f>
        <v>0</v>
      </c>
      <c r="N52" s="180">
        <f t="shared" ref="N52" si="82">IF(D52=0," ",(J52*C52))</f>
        <v>0</v>
      </c>
    </row>
    <row r="53" spans="1:14" s="21" customFormat="1" ht="18.5" x14ac:dyDescent="0.45">
      <c r="A53" s="72" t="str">
        <f>IF(F53&lt;&gt;"",(LARGE(A$7:A52,1)+1),"")</f>
        <v/>
      </c>
      <c r="B53" s="141"/>
      <c r="C53" s="135"/>
      <c r="D53" s="49"/>
      <c r="E53" s="46"/>
      <c r="F53" s="180"/>
      <c r="G53" s="57"/>
      <c r="H53" s="46"/>
      <c r="I53" s="46"/>
      <c r="J53" s="180"/>
      <c r="K53" s="57"/>
      <c r="L53" s="46"/>
      <c r="M53" s="46"/>
      <c r="N53" s="180"/>
    </row>
    <row r="54" spans="1:14" s="21" customFormat="1" ht="18.5" x14ac:dyDescent="0.45">
      <c r="A54" s="72">
        <f>IF(F54&lt;&gt;"",(LARGE(A$7:A53,1)+1),"")</f>
        <v>18</v>
      </c>
      <c r="B54" s="141" t="s">
        <v>219</v>
      </c>
      <c r="C54" s="135">
        <f>C50</f>
        <v>21.92</v>
      </c>
      <c r="D54" s="49" t="s">
        <v>10</v>
      </c>
      <c r="E54" s="46">
        <f t="shared" ref="E54" si="83">G54+H54+J54+I54</f>
        <v>0</v>
      </c>
      <c r="F54" s="180">
        <f>E54*C54</f>
        <v>0</v>
      </c>
      <c r="G54" s="57">
        <v>0</v>
      </c>
      <c r="H54" s="46">
        <v>0</v>
      </c>
      <c r="I54" s="46">
        <f>IF(D54=0," ",(G54)*(Details!$C$4+Details!$C$8))</f>
        <v>0</v>
      </c>
      <c r="J54" s="180">
        <f>IF(D54=0," ",(H54)*(Details!$C$6+Details!$C$8))</f>
        <v>0</v>
      </c>
      <c r="K54" s="57">
        <f t="shared" ref="K54" si="84">+G54*C54</f>
        <v>0</v>
      </c>
      <c r="L54" s="46">
        <f t="shared" ref="L54" si="85">+H54*C54</f>
        <v>0</v>
      </c>
      <c r="M54" s="46">
        <f t="shared" ref="M54" si="86">IF(D54=0," ",(I54*C54))</f>
        <v>0</v>
      </c>
      <c r="N54" s="180">
        <f t="shared" ref="N54" si="87">IF(D54=0," ",(J54*C54))</f>
        <v>0</v>
      </c>
    </row>
    <row r="55" spans="1:14" s="21" customFormat="1" ht="18.5" x14ac:dyDescent="0.45">
      <c r="A55" s="72" t="str">
        <f>IF(F55&lt;&gt;"",(LARGE(A$7:A54,1)+1),"")</f>
        <v/>
      </c>
      <c r="B55" s="141"/>
      <c r="C55" s="135"/>
      <c r="D55" s="49"/>
      <c r="E55" s="46"/>
      <c r="F55" s="180"/>
      <c r="G55" s="57"/>
      <c r="H55" s="46"/>
      <c r="I55" s="46"/>
      <c r="J55" s="180"/>
      <c r="K55" s="57"/>
      <c r="L55" s="46"/>
      <c r="M55" s="46"/>
      <c r="N55" s="180"/>
    </row>
    <row r="56" spans="1:14" s="21" customFormat="1" ht="18.5" x14ac:dyDescent="0.45">
      <c r="A56" s="72" t="str">
        <f>IF(F56&lt;&gt;"",(LARGE(A$7:A55,1)+1),"")</f>
        <v/>
      </c>
      <c r="B56" s="153" t="s">
        <v>228</v>
      </c>
      <c r="C56" s="135"/>
      <c r="D56" s="49"/>
      <c r="E56" s="46"/>
      <c r="F56" s="180"/>
      <c r="G56" s="57"/>
      <c r="H56" s="46"/>
      <c r="I56" s="46"/>
      <c r="J56" s="180"/>
      <c r="K56" s="57"/>
      <c r="L56" s="46"/>
      <c r="M56" s="46"/>
      <c r="N56" s="180"/>
    </row>
    <row r="57" spans="1:14" s="21" customFormat="1" ht="18.5" x14ac:dyDescent="0.45">
      <c r="A57" s="72" t="str">
        <f>IF(F57&lt;&gt;"",(LARGE(A$7:A56,1)+1),"")</f>
        <v/>
      </c>
      <c r="B57" s="141"/>
      <c r="C57" s="135"/>
      <c r="D57" s="49"/>
      <c r="E57" s="46"/>
      <c r="F57" s="180"/>
      <c r="G57" s="57"/>
      <c r="H57" s="46"/>
      <c r="I57" s="46"/>
      <c r="J57" s="180"/>
      <c r="K57" s="57"/>
      <c r="L57" s="46"/>
      <c r="M57" s="46"/>
      <c r="N57" s="180"/>
    </row>
    <row r="58" spans="1:14" s="21" customFormat="1" ht="18.5" x14ac:dyDescent="0.45">
      <c r="A58" s="72">
        <f>IF(F58&lt;&gt;"",(LARGE(A$7:A57,1)+1),"")</f>
        <v>19</v>
      </c>
      <c r="B58" s="141" t="s">
        <v>225</v>
      </c>
      <c r="C58" s="135">
        <f>5*3</f>
        <v>15</v>
      </c>
      <c r="D58" s="49" t="s">
        <v>10</v>
      </c>
      <c r="E58" s="46">
        <f t="shared" ref="E58" si="88">G58+H58+J58+I58</f>
        <v>0</v>
      </c>
      <c r="F58" s="180">
        <f>E58*C58</f>
        <v>0</v>
      </c>
      <c r="G58" s="57">
        <v>0</v>
      </c>
      <c r="H58" s="46">
        <v>0</v>
      </c>
      <c r="I58" s="46">
        <f>IF(D58=0," ",(G58)*(Details!$C$4+Details!$C$8))</f>
        <v>0</v>
      </c>
      <c r="J58" s="180">
        <f>IF(D58=0," ",(H58)*(Details!$C$6+Details!$C$8))</f>
        <v>0</v>
      </c>
      <c r="K58" s="57">
        <f t="shared" ref="K58" si="89">+G58*C58</f>
        <v>0</v>
      </c>
      <c r="L58" s="46">
        <f t="shared" ref="L58" si="90">+H58*C58</f>
        <v>0</v>
      </c>
      <c r="M58" s="46">
        <f t="shared" ref="M58" si="91">IF(D58=0," ",(I58*C58))</f>
        <v>0</v>
      </c>
      <c r="N58" s="180">
        <f t="shared" ref="N58" si="92">IF(D58=0," ",(J58*C58))</f>
        <v>0</v>
      </c>
    </row>
    <row r="59" spans="1:14" s="21" customFormat="1" ht="18.5" x14ac:dyDescent="0.45">
      <c r="A59" s="72" t="str">
        <f>IF(F59&lt;&gt;"",(LARGE(A$7:A58,1)+1),"")</f>
        <v/>
      </c>
      <c r="B59" s="141"/>
      <c r="C59" s="135"/>
      <c r="D59" s="49"/>
      <c r="E59" s="46"/>
      <c r="F59" s="180"/>
      <c r="G59" s="57"/>
      <c r="H59" s="46"/>
      <c r="I59" s="46"/>
      <c r="J59" s="180"/>
      <c r="K59" s="57"/>
      <c r="L59" s="46"/>
      <c r="M59" s="46"/>
      <c r="N59" s="180"/>
    </row>
    <row r="60" spans="1:14" s="21" customFormat="1" ht="18.5" x14ac:dyDescent="0.45">
      <c r="A60" s="72">
        <f>IF(F60&lt;&gt;"",(LARGE(A$7:A59,1)+1),"")</f>
        <v>20</v>
      </c>
      <c r="B60" s="141" t="s">
        <v>218</v>
      </c>
      <c r="C60" s="135">
        <f>5*3*2</f>
        <v>30</v>
      </c>
      <c r="D60" s="49" t="s">
        <v>10</v>
      </c>
      <c r="E60" s="46">
        <f t="shared" ref="E60" si="93">G60+H60+J60+I60</f>
        <v>0</v>
      </c>
      <c r="F60" s="180">
        <f>E60*C60</f>
        <v>0</v>
      </c>
      <c r="G60" s="57">
        <v>0</v>
      </c>
      <c r="H60" s="46">
        <v>0</v>
      </c>
      <c r="I60" s="46">
        <f>IF(D60=0," ",(G60)*(Details!$C$4+Details!$C$8))</f>
        <v>0</v>
      </c>
      <c r="J60" s="180">
        <f>IF(D60=0," ",(H60)*(Details!$C$6+Details!$C$8))</f>
        <v>0</v>
      </c>
      <c r="K60" s="57">
        <f t="shared" ref="K60" si="94">+G60*C60</f>
        <v>0</v>
      </c>
      <c r="L60" s="46">
        <f t="shared" ref="L60" si="95">+H60*C60</f>
        <v>0</v>
      </c>
      <c r="M60" s="46">
        <f t="shared" ref="M60" si="96">IF(D60=0," ",(I60*C60))</f>
        <v>0</v>
      </c>
      <c r="N60" s="180">
        <f t="shared" ref="N60" si="97">IF(D60=0," ",(J60*C60))</f>
        <v>0</v>
      </c>
    </row>
    <row r="61" spans="1:14" s="21" customFormat="1" ht="18.5" x14ac:dyDescent="0.45">
      <c r="A61" s="72" t="str">
        <f>IF(F61&lt;&gt;"",(LARGE(A$7:A60,1)+1),"")</f>
        <v/>
      </c>
      <c r="B61" s="141"/>
      <c r="C61" s="135"/>
      <c r="D61" s="49"/>
      <c r="E61" s="46"/>
      <c r="F61" s="180"/>
      <c r="G61" s="57"/>
      <c r="H61" s="46"/>
      <c r="I61" s="46"/>
      <c r="J61" s="180"/>
      <c r="K61" s="57"/>
      <c r="L61" s="46"/>
      <c r="M61" s="46"/>
      <c r="N61" s="180"/>
    </row>
    <row r="62" spans="1:14" s="21" customFormat="1" ht="18.5" x14ac:dyDescent="0.45">
      <c r="A62" s="72">
        <f>IF(F62&lt;&gt;"",(LARGE(A$7:A61,1)+1),"")</f>
        <v>21</v>
      </c>
      <c r="B62" s="141" t="s">
        <v>221</v>
      </c>
      <c r="C62" s="135">
        <f>5*3*4</f>
        <v>60</v>
      </c>
      <c r="D62" s="49" t="s">
        <v>10</v>
      </c>
      <c r="E62" s="46">
        <f t="shared" ref="E62" si="98">G62+H62+J62+I62</f>
        <v>0</v>
      </c>
      <c r="F62" s="180">
        <f>E62*C62</f>
        <v>0</v>
      </c>
      <c r="G62" s="57">
        <v>0</v>
      </c>
      <c r="H62" s="46">
        <v>0</v>
      </c>
      <c r="I62" s="46">
        <f>IF(D62=0," ",(G62)*(Details!$C$4+Details!$C$8))</f>
        <v>0</v>
      </c>
      <c r="J62" s="180">
        <f>IF(D62=0," ",(H62)*(Details!$C$6+Details!$C$8))</f>
        <v>0</v>
      </c>
      <c r="K62" s="57">
        <f t="shared" ref="K62" si="99">+G62*C62</f>
        <v>0</v>
      </c>
      <c r="L62" s="46">
        <f t="shared" ref="L62" si="100">+H62*C62</f>
        <v>0</v>
      </c>
      <c r="M62" s="46">
        <f t="shared" ref="M62" si="101">IF(D62=0," ",(I62*C62))</f>
        <v>0</v>
      </c>
      <c r="N62" s="180">
        <f t="shared" ref="N62" si="102">IF(D62=0," ",(J62*C62))</f>
        <v>0</v>
      </c>
    </row>
    <row r="63" spans="1:14" s="21" customFormat="1" ht="18.5" x14ac:dyDescent="0.45">
      <c r="A63" s="72" t="str">
        <f>IF(F63&lt;&gt;"",(LARGE(A$7:A62,1)+1),"")</f>
        <v/>
      </c>
      <c r="B63" s="141"/>
      <c r="C63" s="135"/>
      <c r="D63" s="49"/>
      <c r="E63" s="46"/>
      <c r="F63" s="180"/>
      <c r="G63" s="57"/>
      <c r="H63" s="46"/>
      <c r="I63" s="46"/>
      <c r="J63" s="180"/>
      <c r="K63" s="57"/>
      <c r="L63" s="46"/>
      <c r="M63" s="46"/>
      <c r="N63" s="180"/>
    </row>
    <row r="64" spans="1:14" s="21" customFormat="1" ht="18.5" x14ac:dyDescent="0.45">
      <c r="A64" s="72">
        <f>IF(F64&lt;&gt;"",(LARGE(A$7:A63,1)+1),"")</f>
        <v>22</v>
      </c>
      <c r="B64" s="141" t="s">
        <v>227</v>
      </c>
      <c r="C64" s="135">
        <f>C60</f>
        <v>30</v>
      </c>
      <c r="D64" s="49" t="s">
        <v>10</v>
      </c>
      <c r="E64" s="46">
        <f t="shared" ref="E64" si="103">G64+H64+J64+I64</f>
        <v>0</v>
      </c>
      <c r="F64" s="180">
        <f>E64*C64</f>
        <v>0</v>
      </c>
      <c r="G64" s="57">
        <v>0</v>
      </c>
      <c r="H64" s="46">
        <v>0</v>
      </c>
      <c r="I64" s="46">
        <f>IF(D64=0," ",(G64)*(Details!$C$4+Details!$C$8))</f>
        <v>0</v>
      </c>
      <c r="J64" s="180">
        <f>IF(D64=0," ",(H64)*(Details!$C$6+Details!$C$8))</f>
        <v>0</v>
      </c>
      <c r="K64" s="57">
        <f t="shared" ref="K64" si="104">+G64*C64</f>
        <v>0</v>
      </c>
      <c r="L64" s="46">
        <f t="shared" ref="L64" si="105">+H64*C64</f>
        <v>0</v>
      </c>
      <c r="M64" s="46">
        <f t="shared" ref="M64" si="106">IF(D64=0," ",(I64*C64))</f>
        <v>0</v>
      </c>
      <c r="N64" s="180">
        <f t="shared" ref="N64" si="107">IF(D64=0," ",(J64*C64))</f>
        <v>0</v>
      </c>
    </row>
    <row r="65" spans="1:14" s="21" customFormat="1" ht="18.5" x14ac:dyDescent="0.45">
      <c r="A65" s="72" t="str">
        <f>IF(F65&lt;&gt;"",(LARGE(A$7:A64,1)+1),"")</f>
        <v/>
      </c>
      <c r="B65" s="141"/>
      <c r="C65" s="135"/>
      <c r="D65" s="49"/>
      <c r="E65" s="46"/>
      <c r="F65" s="180"/>
      <c r="G65" s="57"/>
      <c r="H65" s="46"/>
      <c r="I65" s="46"/>
      <c r="J65" s="180"/>
      <c r="K65" s="57"/>
      <c r="L65" s="46"/>
      <c r="M65" s="46"/>
      <c r="N65" s="180"/>
    </row>
    <row r="66" spans="1:14" s="21" customFormat="1" ht="18.5" x14ac:dyDescent="0.45">
      <c r="A66" s="72">
        <f>IF(F66&lt;&gt;"",(LARGE(A$7:A65,1)+1),"")</f>
        <v>23</v>
      </c>
      <c r="B66" s="141" t="s">
        <v>219</v>
      </c>
      <c r="C66" s="135">
        <f>5*3</f>
        <v>15</v>
      </c>
      <c r="D66" s="49" t="s">
        <v>10</v>
      </c>
      <c r="E66" s="46">
        <f t="shared" ref="E66" si="108">G66+H66+J66+I66</f>
        <v>0</v>
      </c>
      <c r="F66" s="180">
        <f>E66*C66</f>
        <v>0</v>
      </c>
      <c r="G66" s="57">
        <v>0</v>
      </c>
      <c r="H66" s="46">
        <v>0</v>
      </c>
      <c r="I66" s="46">
        <f>IF(D66=0," ",(G66)*(Details!$C$4+Details!$C$8))</f>
        <v>0</v>
      </c>
      <c r="J66" s="180">
        <f>IF(D66=0," ",(H66)*(Details!$C$6+Details!$C$8))</f>
        <v>0</v>
      </c>
      <c r="K66" s="57">
        <f t="shared" ref="K66" si="109">+G66*C66</f>
        <v>0</v>
      </c>
      <c r="L66" s="46">
        <f t="shared" ref="L66" si="110">+H66*C66</f>
        <v>0</v>
      </c>
      <c r="M66" s="46">
        <f t="shared" ref="M66" si="111">IF(D66=0," ",(I66*C66))</f>
        <v>0</v>
      </c>
      <c r="N66" s="180">
        <f t="shared" ref="N66" si="112">IF(D66=0," ",(J66*C66))</f>
        <v>0</v>
      </c>
    </row>
    <row r="67" spans="1:14" s="21" customFormat="1" ht="18.5" x14ac:dyDescent="0.45">
      <c r="A67" s="72" t="str">
        <f>IF(F67&lt;&gt;"",(LARGE(A$7:A66,1)+1),"")</f>
        <v/>
      </c>
      <c r="B67" s="141"/>
      <c r="C67" s="135"/>
      <c r="D67" s="49"/>
      <c r="E67" s="46"/>
      <c r="F67" s="180"/>
      <c r="G67" s="57"/>
      <c r="H67" s="46"/>
      <c r="I67" s="46"/>
      <c r="J67" s="180"/>
      <c r="K67" s="57"/>
      <c r="L67" s="46"/>
      <c r="M67" s="46"/>
      <c r="N67" s="180"/>
    </row>
    <row r="68" spans="1:14" s="21" customFormat="1" ht="18.5" x14ac:dyDescent="0.45">
      <c r="A68" s="72" t="str">
        <f>IF(F68&lt;&gt;"",(LARGE(A$7:A67,1)+1),"")</f>
        <v/>
      </c>
      <c r="B68" s="153" t="s">
        <v>229</v>
      </c>
      <c r="C68" s="135"/>
      <c r="D68" s="49"/>
      <c r="E68" s="46"/>
      <c r="F68" s="180"/>
      <c r="G68" s="57"/>
      <c r="H68" s="46"/>
      <c r="I68" s="46"/>
      <c r="J68" s="180"/>
      <c r="K68" s="57"/>
      <c r="L68" s="46"/>
      <c r="M68" s="46"/>
      <c r="N68" s="180"/>
    </row>
    <row r="69" spans="1:14" s="21" customFormat="1" ht="18.5" x14ac:dyDescent="0.45">
      <c r="A69" s="72" t="str">
        <f>IF(F69&lt;&gt;"",(LARGE(A$7:A68,1)+1),"")</f>
        <v/>
      </c>
      <c r="B69" s="141"/>
      <c r="C69" s="135"/>
      <c r="D69" s="49"/>
      <c r="E69" s="46"/>
      <c r="F69" s="180"/>
      <c r="G69" s="57"/>
      <c r="H69" s="46"/>
      <c r="I69" s="46"/>
      <c r="J69" s="180"/>
      <c r="K69" s="57"/>
      <c r="L69" s="46"/>
      <c r="M69" s="46"/>
      <c r="N69" s="180"/>
    </row>
    <row r="70" spans="1:14" s="21" customFormat="1" ht="18.5" x14ac:dyDescent="0.45">
      <c r="A70" s="72">
        <f>IF(F70&lt;&gt;"",(LARGE(A$7:A69,1)+1),"")</f>
        <v>24</v>
      </c>
      <c r="B70" s="141" t="s">
        <v>225</v>
      </c>
      <c r="C70" s="135">
        <f>7*2.74</f>
        <v>19.18</v>
      </c>
      <c r="D70" s="49" t="s">
        <v>10</v>
      </c>
      <c r="E70" s="46">
        <f t="shared" ref="E70" si="113">G70+H70+J70+I70</f>
        <v>0</v>
      </c>
      <c r="F70" s="180">
        <f>E70*C70</f>
        <v>0</v>
      </c>
      <c r="G70" s="57">
        <v>0</v>
      </c>
      <c r="H70" s="46">
        <v>0</v>
      </c>
      <c r="I70" s="46">
        <f>IF(D70=0," ",(G70)*(Details!$C$4+Details!$C$8))</f>
        <v>0</v>
      </c>
      <c r="J70" s="180">
        <f>IF(D70=0," ",(H70)*(Details!$C$6+Details!$C$8))</f>
        <v>0</v>
      </c>
      <c r="K70" s="57">
        <f t="shared" ref="K70" si="114">+G70*C70</f>
        <v>0</v>
      </c>
      <c r="L70" s="46">
        <f t="shared" ref="L70" si="115">+H70*C70</f>
        <v>0</v>
      </c>
      <c r="M70" s="46">
        <f t="shared" ref="M70" si="116">IF(D70=0," ",(I70*C70))</f>
        <v>0</v>
      </c>
      <c r="N70" s="180">
        <f t="shared" ref="N70" si="117">IF(D70=0," ",(J70*C70))</f>
        <v>0</v>
      </c>
    </row>
    <row r="71" spans="1:14" s="21" customFormat="1" ht="18.5" x14ac:dyDescent="0.45">
      <c r="A71" s="72" t="str">
        <f>IF(F71&lt;&gt;"",(LARGE(A$7:A70,1)+1),"")</f>
        <v/>
      </c>
      <c r="B71" s="141"/>
      <c r="C71" s="135"/>
      <c r="D71" s="49"/>
      <c r="E71" s="46"/>
      <c r="F71" s="180"/>
      <c r="G71" s="57"/>
      <c r="H71" s="46"/>
      <c r="I71" s="46"/>
      <c r="J71" s="180"/>
      <c r="K71" s="57"/>
      <c r="L71" s="46"/>
      <c r="M71" s="46"/>
      <c r="N71" s="180"/>
    </row>
    <row r="72" spans="1:14" s="21" customFormat="1" ht="18.5" x14ac:dyDescent="0.45">
      <c r="A72" s="72">
        <f>IF(F72&lt;&gt;"",(LARGE(A$7:A71,1)+1),"")</f>
        <v>25</v>
      </c>
      <c r="B72" s="141" t="s">
        <v>218</v>
      </c>
      <c r="C72" s="135">
        <f>7*2.74*2</f>
        <v>38.36</v>
      </c>
      <c r="D72" s="49" t="s">
        <v>10</v>
      </c>
      <c r="E72" s="46">
        <f t="shared" ref="E72" si="118">G72+H72+J72+I72</f>
        <v>0</v>
      </c>
      <c r="F72" s="180">
        <f>E72*C72</f>
        <v>0</v>
      </c>
      <c r="G72" s="57">
        <v>0</v>
      </c>
      <c r="H72" s="46">
        <v>0</v>
      </c>
      <c r="I72" s="46">
        <f>IF(D72=0," ",(G72)*(Details!$C$4+Details!$C$8))</f>
        <v>0</v>
      </c>
      <c r="J72" s="180">
        <f>IF(D72=0," ",(H72)*(Details!$C$6+Details!$C$8))</f>
        <v>0</v>
      </c>
      <c r="K72" s="57">
        <f t="shared" ref="K72" si="119">+G72*C72</f>
        <v>0</v>
      </c>
      <c r="L72" s="46">
        <f t="shared" ref="L72" si="120">+H72*C72</f>
        <v>0</v>
      </c>
      <c r="M72" s="46">
        <f t="shared" ref="M72" si="121">IF(D72=0," ",(I72*C72))</f>
        <v>0</v>
      </c>
      <c r="N72" s="180">
        <f t="shared" ref="N72" si="122">IF(D72=0," ",(J72*C72))</f>
        <v>0</v>
      </c>
    </row>
    <row r="73" spans="1:14" s="21" customFormat="1" ht="18.5" x14ac:dyDescent="0.45">
      <c r="A73" s="72" t="str">
        <f>IF(F73&lt;&gt;"",(LARGE(A$7:A72,1)+1),"")</f>
        <v/>
      </c>
      <c r="B73" s="141"/>
      <c r="C73" s="135"/>
      <c r="D73" s="49"/>
      <c r="E73" s="46"/>
      <c r="F73" s="180"/>
      <c r="G73" s="57"/>
      <c r="H73" s="46"/>
      <c r="I73" s="46"/>
      <c r="J73" s="180"/>
      <c r="K73" s="57"/>
      <c r="L73" s="46"/>
      <c r="M73" s="46"/>
      <c r="N73" s="180"/>
    </row>
    <row r="74" spans="1:14" s="21" customFormat="1" ht="18.5" x14ac:dyDescent="0.45">
      <c r="A74" s="72">
        <f>IF(F74&lt;&gt;"",(LARGE(A$7:A73,1)+1),"")</f>
        <v>26</v>
      </c>
      <c r="B74" s="141" t="s">
        <v>221</v>
      </c>
      <c r="C74" s="135">
        <f>C72</f>
        <v>38.36</v>
      </c>
      <c r="D74" s="49" t="s">
        <v>10</v>
      </c>
      <c r="E74" s="46">
        <f t="shared" ref="E74" si="123">G74+H74+J74+I74</f>
        <v>0</v>
      </c>
      <c r="F74" s="180">
        <f>E74*C74</f>
        <v>0</v>
      </c>
      <c r="G74" s="57">
        <v>0</v>
      </c>
      <c r="H74" s="46">
        <v>0</v>
      </c>
      <c r="I74" s="46">
        <f>IF(D74=0," ",(G74)*(Details!$C$4+Details!$C$8))</f>
        <v>0</v>
      </c>
      <c r="J74" s="180">
        <f>IF(D74=0," ",(H74)*(Details!$C$6+Details!$C$8))</f>
        <v>0</v>
      </c>
      <c r="K74" s="57">
        <f t="shared" ref="K74" si="124">+G74*C74</f>
        <v>0</v>
      </c>
      <c r="L74" s="46">
        <f t="shared" ref="L74" si="125">+H74*C74</f>
        <v>0</v>
      </c>
      <c r="M74" s="46">
        <f t="shared" ref="M74" si="126">IF(D74=0," ",(I74*C74))</f>
        <v>0</v>
      </c>
      <c r="N74" s="180">
        <f t="shared" ref="N74" si="127">IF(D74=0," ",(J74*C74))</f>
        <v>0</v>
      </c>
    </row>
    <row r="75" spans="1:14" s="21" customFormat="1" ht="18.5" x14ac:dyDescent="0.45">
      <c r="A75" s="72" t="str">
        <f>IF(F75&lt;&gt;"",(LARGE(A$7:A74,1)+1),"")</f>
        <v/>
      </c>
      <c r="B75" s="141"/>
      <c r="C75" s="135"/>
      <c r="D75" s="49"/>
      <c r="E75" s="46"/>
      <c r="F75" s="180"/>
      <c r="G75" s="57"/>
      <c r="H75" s="46"/>
      <c r="I75" s="46"/>
      <c r="J75" s="180"/>
      <c r="K75" s="57"/>
      <c r="L75" s="46"/>
      <c r="M75" s="46"/>
      <c r="N75" s="180"/>
    </row>
    <row r="76" spans="1:14" s="21" customFormat="1" ht="18.5" x14ac:dyDescent="0.45">
      <c r="A76" s="72">
        <f>IF(F76&lt;&gt;"",(LARGE(A$7:A75,1)+1),"")</f>
        <v>27</v>
      </c>
      <c r="B76" s="141" t="s">
        <v>230</v>
      </c>
      <c r="C76" s="135">
        <f>7*2.74</f>
        <v>19.18</v>
      </c>
      <c r="D76" s="49" t="s">
        <v>10</v>
      </c>
      <c r="E76" s="46">
        <f t="shared" ref="E76" si="128">G76+H76+J76+I76</f>
        <v>0</v>
      </c>
      <c r="F76" s="180">
        <f>E76*C76</f>
        <v>0</v>
      </c>
      <c r="G76" s="57">
        <v>0</v>
      </c>
      <c r="H76" s="46">
        <v>0</v>
      </c>
      <c r="I76" s="46">
        <f>IF(D76=0," ",(G76)*(Details!$C$4+Details!$C$8))</f>
        <v>0</v>
      </c>
      <c r="J76" s="180">
        <f>IF(D76=0," ",(H76)*(Details!$C$6+Details!$C$8))</f>
        <v>0</v>
      </c>
      <c r="K76" s="57">
        <f t="shared" ref="K76" si="129">+G76*C76</f>
        <v>0</v>
      </c>
      <c r="L76" s="46">
        <f t="shared" ref="L76" si="130">+H76*C76</f>
        <v>0</v>
      </c>
      <c r="M76" s="46">
        <f t="shared" ref="M76" si="131">IF(D76=0," ",(I76*C76))</f>
        <v>0</v>
      </c>
      <c r="N76" s="180">
        <f t="shared" ref="N76" si="132">IF(D76=0," ",(J76*C76))</f>
        <v>0</v>
      </c>
    </row>
    <row r="77" spans="1:14" s="21" customFormat="1" ht="18.5" x14ac:dyDescent="0.45">
      <c r="A77" s="72" t="str">
        <f>IF(F77&lt;&gt;"",(LARGE(A$7:A76,1)+1),"")</f>
        <v/>
      </c>
      <c r="B77" s="141"/>
      <c r="C77" s="135"/>
      <c r="D77" s="49"/>
      <c r="E77" s="46"/>
      <c r="F77" s="180"/>
      <c r="G77" s="57"/>
      <c r="H77" s="46"/>
      <c r="I77" s="46"/>
      <c r="J77" s="180"/>
      <c r="K77" s="57"/>
      <c r="L77" s="46"/>
      <c r="M77" s="46"/>
      <c r="N77" s="180"/>
    </row>
    <row r="78" spans="1:14" s="21" customFormat="1" ht="18.5" x14ac:dyDescent="0.45">
      <c r="A78" s="72" t="str">
        <f>IF(F78&lt;&gt;"",(LARGE(A$7:A77,1)+1),"")</f>
        <v/>
      </c>
      <c r="B78" s="153" t="s">
        <v>231</v>
      </c>
      <c r="C78" s="135"/>
      <c r="D78" s="49"/>
      <c r="E78" s="46"/>
      <c r="F78" s="180"/>
      <c r="G78" s="57"/>
      <c r="H78" s="46"/>
      <c r="I78" s="46"/>
      <c r="J78" s="180"/>
      <c r="K78" s="57"/>
      <c r="L78" s="46"/>
      <c r="M78" s="46"/>
      <c r="N78" s="180"/>
    </row>
    <row r="79" spans="1:14" s="21" customFormat="1" ht="18.5" x14ac:dyDescent="0.45">
      <c r="A79" s="72" t="str">
        <f>IF(F79&lt;&gt;"",(LARGE(A$7:A78,1)+1),"")</f>
        <v/>
      </c>
      <c r="B79" s="141"/>
      <c r="C79" s="135"/>
      <c r="D79" s="49"/>
      <c r="E79" s="46"/>
      <c r="F79" s="180"/>
      <c r="G79" s="57"/>
      <c r="H79" s="46"/>
      <c r="I79" s="46"/>
      <c r="J79" s="180"/>
      <c r="K79" s="57"/>
      <c r="L79" s="46"/>
      <c r="M79" s="46"/>
      <c r="N79" s="180"/>
    </row>
    <row r="80" spans="1:14" s="21" customFormat="1" ht="18.5" x14ac:dyDescent="0.45">
      <c r="A80" s="72">
        <f>IF(F80&lt;&gt;"",(LARGE(A$7:A79,1)+1),"")</f>
        <v>28</v>
      </c>
      <c r="B80" s="141" t="s">
        <v>232</v>
      </c>
      <c r="C80" s="135">
        <f>110*2.74</f>
        <v>301.40000000000003</v>
      </c>
      <c r="D80" s="49" t="s">
        <v>10</v>
      </c>
      <c r="E80" s="46">
        <f t="shared" ref="E80" si="133">G80+H80+J80+I80</f>
        <v>0</v>
      </c>
      <c r="F80" s="180">
        <f>E80*C80</f>
        <v>0</v>
      </c>
      <c r="G80" s="57">
        <v>0</v>
      </c>
      <c r="H80" s="46">
        <v>0</v>
      </c>
      <c r="I80" s="46">
        <f>IF(D80=0," ",(G80)*(Details!$C$4+Details!$C$8))</f>
        <v>0</v>
      </c>
      <c r="J80" s="180">
        <f>IF(D80=0," ",(H80)*(Details!$C$6+Details!$C$8))</f>
        <v>0</v>
      </c>
      <c r="K80" s="57">
        <f t="shared" ref="K80" si="134">+G80*C80</f>
        <v>0</v>
      </c>
      <c r="L80" s="46">
        <f t="shared" ref="L80" si="135">+H80*C80</f>
        <v>0</v>
      </c>
      <c r="M80" s="46">
        <f t="shared" ref="M80" si="136">IF(D80=0," ",(I80*C80))</f>
        <v>0</v>
      </c>
      <c r="N80" s="180">
        <f t="shared" ref="N80" si="137">IF(D80=0," ",(J80*C80))</f>
        <v>0</v>
      </c>
    </row>
    <row r="81" spans="1:14" s="21" customFormat="1" ht="18.5" x14ac:dyDescent="0.45">
      <c r="A81" s="72" t="str">
        <f>IF(F81&lt;&gt;"",(LARGE(A$7:A80,1)+1),"")</f>
        <v/>
      </c>
      <c r="B81" s="141"/>
      <c r="C81" s="135"/>
      <c r="D81" s="49"/>
      <c r="E81" s="46"/>
      <c r="F81" s="180"/>
      <c r="G81" s="57"/>
      <c r="H81" s="46"/>
      <c r="I81" s="46"/>
      <c r="J81" s="180"/>
      <c r="K81" s="57"/>
      <c r="L81" s="46"/>
      <c r="M81" s="46"/>
      <c r="N81" s="180"/>
    </row>
    <row r="82" spans="1:14" s="21" customFormat="1" ht="18.5" x14ac:dyDescent="0.45">
      <c r="A82" s="72">
        <f>IF(F82&lt;&gt;"",(LARGE(A$7:A81,1)+1),"")</f>
        <v>29</v>
      </c>
      <c r="B82" s="141" t="s">
        <v>233</v>
      </c>
      <c r="C82" s="135">
        <f>110*2.74</f>
        <v>301.40000000000003</v>
      </c>
      <c r="D82" s="49" t="s">
        <v>10</v>
      </c>
      <c r="E82" s="46">
        <f t="shared" ref="E82" si="138">G82+H82+J82+I82</f>
        <v>0</v>
      </c>
      <c r="F82" s="180">
        <f>E82*C82</f>
        <v>0</v>
      </c>
      <c r="G82" s="57">
        <v>0</v>
      </c>
      <c r="H82" s="46">
        <v>0</v>
      </c>
      <c r="I82" s="46">
        <f>IF(D82=0," ",(G82)*(Details!$C$4+Details!$C$8))</f>
        <v>0</v>
      </c>
      <c r="J82" s="180">
        <f>IF(D82=0," ",(H82)*(Details!$C$6+Details!$C$8))</f>
        <v>0</v>
      </c>
      <c r="K82" s="57">
        <f t="shared" ref="K82" si="139">+G82*C82</f>
        <v>0</v>
      </c>
      <c r="L82" s="46">
        <f t="shared" ref="L82" si="140">+H82*C82</f>
        <v>0</v>
      </c>
      <c r="M82" s="46">
        <f t="shared" ref="M82" si="141">IF(D82=0," ",(I82*C82))</f>
        <v>0</v>
      </c>
      <c r="N82" s="180">
        <f t="shared" ref="N82" si="142">IF(D82=0," ",(J82*C82))</f>
        <v>0</v>
      </c>
    </row>
    <row r="83" spans="1:14" s="21" customFormat="1" ht="18.5" x14ac:dyDescent="0.45">
      <c r="A83" s="72" t="str">
        <f>IF(F83&lt;&gt;"",(LARGE(A$7:A82,1)+1),"")</f>
        <v/>
      </c>
      <c r="B83" s="141"/>
      <c r="C83" s="135"/>
      <c r="D83" s="49"/>
      <c r="E83" s="46"/>
      <c r="F83" s="180"/>
      <c r="G83" s="57"/>
      <c r="H83" s="46"/>
      <c r="I83" s="46"/>
      <c r="J83" s="180"/>
      <c r="K83" s="57"/>
      <c r="L83" s="46"/>
      <c r="M83" s="46"/>
      <c r="N83" s="180"/>
    </row>
    <row r="84" spans="1:14" s="21" customFormat="1" ht="18.5" x14ac:dyDescent="0.45">
      <c r="A84" s="72">
        <f>IF(F84&lt;&gt;"",(LARGE(A$7:A83,1)+1),"")</f>
        <v>30</v>
      </c>
      <c r="B84" s="141" t="s">
        <v>218</v>
      </c>
      <c r="C84" s="135">
        <f>110*2.74</f>
        <v>301.40000000000003</v>
      </c>
      <c r="D84" s="49" t="s">
        <v>10</v>
      </c>
      <c r="E84" s="46">
        <f t="shared" ref="E84" si="143">G84+H84+J84+I84</f>
        <v>0</v>
      </c>
      <c r="F84" s="180">
        <f>E84*C84</f>
        <v>0</v>
      </c>
      <c r="G84" s="57">
        <v>0</v>
      </c>
      <c r="H84" s="46">
        <v>0</v>
      </c>
      <c r="I84" s="46">
        <f>IF(D84=0," ",(G84)*(Details!$C$4+Details!$C$8))</f>
        <v>0</v>
      </c>
      <c r="J84" s="180">
        <f>IF(D84=0," ",(H84)*(Details!$C$6+Details!$C$8))</f>
        <v>0</v>
      </c>
      <c r="K84" s="57">
        <f t="shared" ref="K84" si="144">+G84*C84</f>
        <v>0</v>
      </c>
      <c r="L84" s="46">
        <f t="shared" ref="L84" si="145">+H84*C84</f>
        <v>0</v>
      </c>
      <c r="M84" s="46">
        <f t="shared" ref="M84" si="146">IF(D84=0," ",(I84*C84))</f>
        <v>0</v>
      </c>
      <c r="N84" s="180">
        <f t="shared" ref="N84" si="147">IF(D84=0," ",(J84*C84))</f>
        <v>0</v>
      </c>
    </row>
    <row r="85" spans="1:14" s="21" customFormat="1" ht="18.5" x14ac:dyDescent="0.45">
      <c r="A85" s="72" t="str">
        <f>IF(F85&lt;&gt;"",(LARGE(A$7:A84,1)+1),"")</f>
        <v/>
      </c>
      <c r="B85" s="141"/>
      <c r="C85" s="135"/>
      <c r="D85" s="49"/>
      <c r="E85" s="46"/>
      <c r="F85" s="180"/>
      <c r="G85" s="57"/>
      <c r="H85" s="46"/>
      <c r="I85" s="46"/>
      <c r="J85" s="180"/>
      <c r="K85" s="57"/>
      <c r="L85" s="46"/>
      <c r="M85" s="46"/>
      <c r="N85" s="180"/>
    </row>
    <row r="86" spans="1:14" s="21" customFormat="1" ht="18.5" x14ac:dyDescent="0.45">
      <c r="A86" s="72">
        <f>IF(F86&lt;&gt;"",(LARGE(A$7:A85,1)+1),"")</f>
        <v>31</v>
      </c>
      <c r="B86" s="141" t="s">
        <v>234</v>
      </c>
      <c r="C86" s="135">
        <f>110*2.74</f>
        <v>301.40000000000003</v>
      </c>
      <c r="D86" s="49" t="s">
        <v>10</v>
      </c>
      <c r="E86" s="46">
        <f t="shared" ref="E86" si="148">G86+H86+J86+I86</f>
        <v>0</v>
      </c>
      <c r="F86" s="180">
        <f>E86*C86</f>
        <v>0</v>
      </c>
      <c r="G86" s="57">
        <v>0</v>
      </c>
      <c r="H86" s="46">
        <v>0</v>
      </c>
      <c r="I86" s="46">
        <f>IF(D86=0," ",(G86)*(Details!$C$4+Details!$C$8))</f>
        <v>0</v>
      </c>
      <c r="J86" s="180">
        <f>IF(D86=0," ",(H86)*(Details!$C$6+Details!$C$8))</f>
        <v>0</v>
      </c>
      <c r="K86" s="57">
        <f t="shared" ref="K86" si="149">+G86*C86</f>
        <v>0</v>
      </c>
      <c r="L86" s="46">
        <f t="shared" ref="L86" si="150">+H86*C86</f>
        <v>0</v>
      </c>
      <c r="M86" s="46">
        <f t="shared" ref="M86" si="151">IF(D86=0," ",(I86*C86))</f>
        <v>0</v>
      </c>
      <c r="N86" s="180">
        <f t="shared" ref="N86" si="152">IF(D86=0," ",(J86*C86))</f>
        <v>0</v>
      </c>
    </row>
    <row r="87" spans="1:14" s="21" customFormat="1" ht="18.5" x14ac:dyDescent="0.45">
      <c r="A87" s="72" t="str">
        <f>IF(F87&lt;&gt;"",(LARGE(A$7:A86,1)+1),"")</f>
        <v/>
      </c>
      <c r="B87" s="141"/>
      <c r="C87" s="135"/>
      <c r="D87" s="49"/>
      <c r="E87" s="46"/>
      <c r="F87" s="180"/>
      <c r="G87" s="57"/>
      <c r="H87" s="46"/>
      <c r="I87" s="46"/>
      <c r="J87" s="180"/>
      <c r="K87" s="57"/>
      <c r="L87" s="46"/>
      <c r="M87" s="46"/>
      <c r="N87" s="180"/>
    </row>
    <row r="88" spans="1:14" s="21" customFormat="1" ht="18.5" x14ac:dyDescent="0.45">
      <c r="A88" s="72" t="str">
        <f>IF(F88&lt;&gt;"",(LARGE(A$7:A87,1)+1),"")</f>
        <v/>
      </c>
      <c r="B88" s="153" t="s">
        <v>235</v>
      </c>
      <c r="C88" s="135"/>
      <c r="D88" s="49"/>
      <c r="E88" s="46"/>
      <c r="F88" s="180"/>
      <c r="G88" s="57"/>
      <c r="H88" s="46"/>
      <c r="I88" s="46"/>
      <c r="J88" s="180"/>
      <c r="K88" s="57"/>
      <c r="L88" s="46"/>
      <c r="M88" s="46"/>
      <c r="N88" s="180"/>
    </row>
    <row r="89" spans="1:14" s="21" customFormat="1" ht="18.5" x14ac:dyDescent="0.45">
      <c r="A89" s="72" t="str">
        <f>IF(F89&lt;&gt;"",(LARGE(A$7:A88,1)+1),"")</f>
        <v/>
      </c>
      <c r="B89" s="141"/>
      <c r="C89" s="135"/>
      <c r="D89" s="49"/>
      <c r="E89" s="46"/>
      <c r="F89" s="180"/>
      <c r="G89" s="57"/>
      <c r="H89" s="46"/>
      <c r="I89" s="46"/>
      <c r="J89" s="180"/>
      <c r="K89" s="57"/>
      <c r="L89" s="46"/>
      <c r="M89" s="46"/>
      <c r="N89" s="180"/>
    </row>
    <row r="90" spans="1:14" s="21" customFormat="1" ht="18.5" x14ac:dyDescent="0.45">
      <c r="A90" s="72">
        <f>IF(F90&lt;&gt;"",(LARGE(A$7:A89,1)+1),"")</f>
        <v>32</v>
      </c>
      <c r="B90" s="141" t="s">
        <v>218</v>
      </c>
      <c r="C90" s="135">
        <f>22*3.35</f>
        <v>73.7</v>
      </c>
      <c r="D90" s="49" t="s">
        <v>10</v>
      </c>
      <c r="E90" s="46">
        <f t="shared" ref="E90" si="153">G90+H90+J90+I90</f>
        <v>0</v>
      </c>
      <c r="F90" s="180">
        <f>E90*C90</f>
        <v>0</v>
      </c>
      <c r="G90" s="57">
        <v>0</v>
      </c>
      <c r="H90" s="46">
        <v>0</v>
      </c>
      <c r="I90" s="46">
        <f>IF(D90=0," ",(G90)*(Details!$C$4+Details!$C$8))</f>
        <v>0</v>
      </c>
      <c r="J90" s="180">
        <f>IF(D90=0," ",(H90)*(Details!$C$6+Details!$C$8))</f>
        <v>0</v>
      </c>
      <c r="K90" s="57">
        <f t="shared" ref="K90" si="154">+G90*C90</f>
        <v>0</v>
      </c>
      <c r="L90" s="46">
        <f t="shared" ref="L90" si="155">+H90*C90</f>
        <v>0</v>
      </c>
      <c r="M90" s="46">
        <f t="shared" ref="M90" si="156">IF(D90=0," ",(I90*C90))</f>
        <v>0</v>
      </c>
      <c r="N90" s="180">
        <f t="shared" ref="N90" si="157">IF(D90=0," ",(J90*C90))</f>
        <v>0</v>
      </c>
    </row>
    <row r="91" spans="1:14" s="21" customFormat="1" ht="18.5" x14ac:dyDescent="0.45">
      <c r="A91" s="72" t="str">
        <f>IF(F91&lt;&gt;"",(LARGE(A$7:A90,1)+1),"")</f>
        <v/>
      </c>
      <c r="B91" s="141"/>
      <c r="C91" s="135"/>
      <c r="D91" s="49"/>
      <c r="E91" s="46"/>
      <c r="F91" s="180"/>
      <c r="G91" s="57"/>
      <c r="H91" s="46"/>
      <c r="I91" s="46"/>
      <c r="J91" s="180"/>
      <c r="K91" s="57"/>
      <c r="L91" s="46"/>
      <c r="M91" s="46"/>
      <c r="N91" s="180"/>
    </row>
    <row r="92" spans="1:14" s="21" customFormat="1" ht="18.5" x14ac:dyDescent="0.45">
      <c r="A92" s="72">
        <f>IF(F92&lt;&gt;"",(LARGE(A$7:A91,1)+1),"")</f>
        <v>33</v>
      </c>
      <c r="B92" s="141" t="s">
        <v>232</v>
      </c>
      <c r="C92" s="135">
        <f>22*3.35</f>
        <v>73.7</v>
      </c>
      <c r="D92" s="49" t="s">
        <v>10</v>
      </c>
      <c r="E92" s="46">
        <f t="shared" ref="E92" si="158">G92+H92+J92+I92</f>
        <v>0</v>
      </c>
      <c r="F92" s="180">
        <f>E92*C92</f>
        <v>0</v>
      </c>
      <c r="G92" s="57">
        <v>0</v>
      </c>
      <c r="H92" s="46">
        <v>0</v>
      </c>
      <c r="I92" s="46">
        <f>IF(D92=0," ",(G92)*(Details!$C$4+Details!$C$8))</f>
        <v>0</v>
      </c>
      <c r="J92" s="180">
        <f>IF(D92=0," ",(H92)*(Details!$C$6+Details!$C$8))</f>
        <v>0</v>
      </c>
      <c r="K92" s="57">
        <f t="shared" ref="K92" si="159">+G92*C92</f>
        <v>0</v>
      </c>
      <c r="L92" s="46">
        <f t="shared" ref="L92" si="160">+H92*C92</f>
        <v>0</v>
      </c>
      <c r="M92" s="46">
        <f t="shared" ref="M92" si="161">IF(D92=0," ",(I92*C92))</f>
        <v>0</v>
      </c>
      <c r="N92" s="180">
        <f t="shared" ref="N92" si="162">IF(D92=0," ",(J92*C92))</f>
        <v>0</v>
      </c>
    </row>
    <row r="93" spans="1:14" s="21" customFormat="1" ht="18.5" x14ac:dyDescent="0.45">
      <c r="A93" s="72" t="str">
        <f>IF(F93&lt;&gt;"",(LARGE(A$7:A92,1)+1),"")</f>
        <v/>
      </c>
      <c r="B93" s="141"/>
      <c r="C93" s="135"/>
      <c r="D93" s="49"/>
      <c r="E93" s="46"/>
      <c r="F93" s="180"/>
      <c r="G93" s="57"/>
      <c r="H93" s="46"/>
      <c r="I93" s="46"/>
      <c r="J93" s="180"/>
      <c r="K93" s="57"/>
      <c r="L93" s="46"/>
      <c r="M93" s="46"/>
      <c r="N93" s="180"/>
    </row>
    <row r="94" spans="1:14" s="21" customFormat="1" ht="18.5" x14ac:dyDescent="0.45">
      <c r="A94" s="72">
        <f>IF(F94&lt;&gt;"",(LARGE(A$7:A93,1)+1),"")</f>
        <v>34</v>
      </c>
      <c r="B94" s="141" t="s">
        <v>236</v>
      </c>
      <c r="C94" s="135">
        <f>22*3.35</f>
        <v>73.7</v>
      </c>
      <c r="D94" s="49" t="s">
        <v>10</v>
      </c>
      <c r="E94" s="46">
        <f t="shared" ref="E94" si="163">G94+H94+J94+I94</f>
        <v>0</v>
      </c>
      <c r="F94" s="180">
        <f>E94*C94</f>
        <v>0</v>
      </c>
      <c r="G94" s="57">
        <v>0</v>
      </c>
      <c r="H94" s="46">
        <v>0</v>
      </c>
      <c r="I94" s="46">
        <f>IF(D94=0," ",(G94)*(Details!$C$4+Details!$C$8))</f>
        <v>0</v>
      </c>
      <c r="J94" s="180">
        <f>IF(D94=0," ",(H94)*(Details!$C$6+Details!$C$8))</f>
        <v>0</v>
      </c>
      <c r="K94" s="57">
        <f t="shared" ref="K94" si="164">+G94*C94</f>
        <v>0</v>
      </c>
      <c r="L94" s="46">
        <f t="shared" ref="L94" si="165">+H94*C94</f>
        <v>0</v>
      </c>
      <c r="M94" s="46">
        <f t="shared" ref="M94" si="166">IF(D94=0," ",(I94*C94))</f>
        <v>0</v>
      </c>
      <c r="N94" s="180">
        <f t="shared" ref="N94" si="167">IF(D94=0," ",(J94*C94))</f>
        <v>0</v>
      </c>
    </row>
    <row r="95" spans="1:14" s="21" customFormat="1" ht="18.5" x14ac:dyDescent="0.45">
      <c r="A95" s="72" t="str">
        <f>IF(F95&lt;&gt;"",(LARGE(A$7:A94,1)+1),"")</f>
        <v/>
      </c>
      <c r="B95" s="141"/>
      <c r="C95" s="135"/>
      <c r="D95" s="49"/>
      <c r="E95" s="46"/>
      <c r="F95" s="180"/>
      <c r="G95" s="57"/>
      <c r="H95" s="46"/>
      <c r="I95" s="46"/>
      <c r="J95" s="180"/>
      <c r="K95" s="57"/>
      <c r="L95" s="46"/>
      <c r="M95" s="46"/>
      <c r="N95" s="180"/>
    </row>
    <row r="96" spans="1:14" s="21" customFormat="1" ht="18.5" x14ac:dyDescent="0.45">
      <c r="A96" s="72" t="str">
        <f>IF(F96&lt;&gt;"",(LARGE(A$7:A95,1)+1),"")</f>
        <v/>
      </c>
      <c r="B96" s="153" t="s">
        <v>237</v>
      </c>
      <c r="C96" s="135"/>
      <c r="D96" s="49"/>
      <c r="E96" s="46"/>
      <c r="F96" s="180"/>
      <c r="G96" s="57"/>
      <c r="H96" s="46"/>
      <c r="I96" s="46"/>
      <c r="J96" s="180"/>
      <c r="K96" s="57"/>
      <c r="L96" s="46"/>
      <c r="M96" s="46"/>
      <c r="N96" s="180"/>
    </row>
    <row r="97" spans="1:14" s="21" customFormat="1" ht="18.5" x14ac:dyDescent="0.45">
      <c r="A97" s="72" t="str">
        <f>IF(F97&lt;&gt;"",(LARGE(A$7:A96,1)+1),"")</f>
        <v/>
      </c>
      <c r="B97" s="153"/>
      <c r="C97" s="135"/>
      <c r="D97" s="49"/>
      <c r="E97" s="46"/>
      <c r="F97" s="180"/>
      <c r="G97" s="57"/>
      <c r="H97" s="46"/>
      <c r="I97" s="46"/>
      <c r="J97" s="180"/>
      <c r="K97" s="57"/>
      <c r="L97" s="46"/>
      <c r="M97" s="46"/>
      <c r="N97" s="180"/>
    </row>
    <row r="98" spans="1:14" s="21" customFormat="1" ht="18.5" x14ac:dyDescent="0.45">
      <c r="A98" s="72">
        <f>IF(F98&lt;&gt;"",(LARGE(A$7:A97,1)+1),"")</f>
        <v>35</v>
      </c>
      <c r="B98" s="141" t="s">
        <v>238</v>
      </c>
      <c r="C98" s="135">
        <f>26*2.74</f>
        <v>71.240000000000009</v>
      </c>
      <c r="D98" s="49" t="s">
        <v>10</v>
      </c>
      <c r="E98" s="46">
        <f t="shared" ref="E98" si="168">G98+H98+J98+I98</f>
        <v>0</v>
      </c>
      <c r="F98" s="180">
        <f>E98*C98</f>
        <v>0</v>
      </c>
      <c r="G98" s="57">
        <v>0</v>
      </c>
      <c r="H98" s="46">
        <v>0</v>
      </c>
      <c r="I98" s="46">
        <f>IF(D98=0," ",(G98)*(Details!$C$4+Details!$C$8))</f>
        <v>0</v>
      </c>
      <c r="J98" s="180">
        <f>IF(D98=0," ",(H98)*(Details!$C$6+Details!$C$8))</f>
        <v>0</v>
      </c>
      <c r="K98" s="57">
        <f t="shared" ref="K98" si="169">+G98*C98</f>
        <v>0</v>
      </c>
      <c r="L98" s="46">
        <f t="shared" ref="L98" si="170">+H98*C98</f>
        <v>0</v>
      </c>
      <c r="M98" s="46">
        <f t="shared" ref="M98" si="171">IF(D98=0," ",(I98*C98))</f>
        <v>0</v>
      </c>
      <c r="N98" s="180">
        <f t="shared" ref="N98" si="172">IF(D98=0," ",(J98*C98))</f>
        <v>0</v>
      </c>
    </row>
    <row r="99" spans="1:14" s="21" customFormat="1" ht="18.5" x14ac:dyDescent="0.45">
      <c r="A99" s="72" t="str">
        <f>IF(F99&lt;&gt;"",(LARGE(A$7:A98,1)+1),"")</f>
        <v/>
      </c>
      <c r="B99" s="153"/>
      <c r="C99" s="135"/>
      <c r="D99" s="49"/>
      <c r="E99" s="46"/>
      <c r="F99" s="180"/>
      <c r="G99" s="57"/>
      <c r="H99" s="46"/>
      <c r="I99" s="46"/>
      <c r="J99" s="180"/>
      <c r="K99" s="57"/>
      <c r="L99" s="46"/>
      <c r="M99" s="46"/>
      <c r="N99" s="180"/>
    </row>
    <row r="100" spans="1:14" s="21" customFormat="1" ht="18.5" x14ac:dyDescent="0.45">
      <c r="A100" s="72">
        <f>IF(F100&lt;&gt;"",(LARGE(A$7:A99,1)+1),"")</f>
        <v>36</v>
      </c>
      <c r="B100" s="141" t="s">
        <v>239</v>
      </c>
      <c r="C100" s="135">
        <f>26*2.74</f>
        <v>71.240000000000009</v>
      </c>
      <c r="D100" s="49" t="s">
        <v>10</v>
      </c>
      <c r="E100" s="46">
        <f t="shared" ref="E100" si="173">G100+H100+J100+I100</f>
        <v>0</v>
      </c>
      <c r="F100" s="180">
        <f>E100*C100</f>
        <v>0</v>
      </c>
      <c r="G100" s="57">
        <v>0</v>
      </c>
      <c r="H100" s="46">
        <v>0</v>
      </c>
      <c r="I100" s="46">
        <f>IF(D100=0," ",(G100)*(Details!$C$4+Details!$C$8))</f>
        <v>0</v>
      </c>
      <c r="J100" s="180">
        <f>IF(D100=0," ",(H100)*(Details!$C$6+Details!$C$8))</f>
        <v>0</v>
      </c>
      <c r="K100" s="57">
        <f t="shared" ref="K100" si="174">+G100*C100</f>
        <v>0</v>
      </c>
      <c r="L100" s="46">
        <f t="shared" ref="L100" si="175">+H100*C100</f>
        <v>0</v>
      </c>
      <c r="M100" s="46">
        <f t="shared" ref="M100" si="176">IF(D100=0," ",(I100*C100))</f>
        <v>0</v>
      </c>
      <c r="N100" s="180">
        <f t="shared" ref="N100" si="177">IF(D100=0," ",(J100*C100))</f>
        <v>0</v>
      </c>
    </row>
    <row r="101" spans="1:14" s="21" customFormat="1" ht="18.5" x14ac:dyDescent="0.45">
      <c r="A101" s="72" t="str">
        <f>IF(F101&lt;&gt;"",(LARGE(A$7:A100,1)+1),"")</f>
        <v/>
      </c>
      <c r="B101" s="153"/>
      <c r="C101" s="135"/>
      <c r="D101" s="49"/>
      <c r="E101" s="46"/>
      <c r="F101" s="180"/>
      <c r="G101" s="57"/>
      <c r="H101" s="46"/>
      <c r="I101" s="46"/>
      <c r="J101" s="180"/>
      <c r="K101" s="57"/>
      <c r="L101" s="46"/>
      <c r="M101" s="46"/>
      <c r="N101" s="180"/>
    </row>
    <row r="102" spans="1:14" s="21" customFormat="1" ht="18.5" x14ac:dyDescent="0.45">
      <c r="A102" s="72">
        <f>IF(F102&lt;&gt;"",(LARGE(A$7:A101,1)+1),"")</f>
        <v>37</v>
      </c>
      <c r="B102" s="141" t="s">
        <v>218</v>
      </c>
      <c r="C102" s="135">
        <f>26*2.74</f>
        <v>71.240000000000009</v>
      </c>
      <c r="D102" s="49" t="s">
        <v>10</v>
      </c>
      <c r="E102" s="46">
        <f t="shared" ref="E102" si="178">G102+H102+J102+I102</f>
        <v>0</v>
      </c>
      <c r="F102" s="180">
        <f>E102*C102</f>
        <v>0</v>
      </c>
      <c r="G102" s="57">
        <v>0</v>
      </c>
      <c r="H102" s="46">
        <v>0</v>
      </c>
      <c r="I102" s="46">
        <f>IF(D102=0," ",(G102)*(Details!$C$4+Details!$C$8))</f>
        <v>0</v>
      </c>
      <c r="J102" s="180">
        <f>IF(D102=0," ",(H102)*(Details!$C$6+Details!$C$8))</f>
        <v>0</v>
      </c>
      <c r="K102" s="57">
        <f t="shared" ref="K102" si="179">+G102*C102</f>
        <v>0</v>
      </c>
      <c r="L102" s="46">
        <f t="shared" ref="L102" si="180">+H102*C102</f>
        <v>0</v>
      </c>
      <c r="M102" s="46">
        <f t="shared" ref="M102" si="181">IF(D102=0," ",(I102*C102))</f>
        <v>0</v>
      </c>
      <c r="N102" s="180">
        <f t="shared" ref="N102" si="182">IF(D102=0," ",(J102*C102))</f>
        <v>0</v>
      </c>
    </row>
    <row r="103" spans="1:14" s="21" customFormat="1" ht="18.5" x14ac:dyDescent="0.45">
      <c r="A103" s="72" t="str">
        <f>IF(F103&lt;&gt;"",(LARGE(A$7:A102,1)+1),"")</f>
        <v/>
      </c>
      <c r="B103" s="153"/>
      <c r="C103" s="135"/>
      <c r="D103" s="49"/>
      <c r="E103" s="46"/>
      <c r="F103" s="180"/>
      <c r="G103" s="57"/>
      <c r="H103" s="46"/>
      <c r="I103" s="46"/>
      <c r="J103" s="180"/>
      <c r="K103" s="57"/>
      <c r="L103" s="46"/>
      <c r="M103" s="46"/>
      <c r="N103" s="180"/>
    </row>
    <row r="104" spans="1:14" s="21" customFormat="1" ht="18.5" x14ac:dyDescent="0.45">
      <c r="A104" s="72" t="str">
        <f>IF(F104&lt;&gt;"",(LARGE(A$7:A103,1)+1),"")</f>
        <v/>
      </c>
      <c r="B104" s="153" t="s">
        <v>240</v>
      </c>
      <c r="C104" s="135"/>
      <c r="D104" s="49"/>
      <c r="E104" s="46"/>
      <c r="F104" s="180"/>
      <c r="G104" s="57"/>
      <c r="H104" s="46"/>
      <c r="I104" s="46"/>
      <c r="J104" s="180"/>
      <c r="K104" s="57"/>
      <c r="L104" s="46"/>
      <c r="M104" s="46"/>
      <c r="N104" s="180"/>
    </row>
    <row r="105" spans="1:14" s="21" customFormat="1" ht="18.5" x14ac:dyDescent="0.45">
      <c r="A105" s="72" t="str">
        <f>IF(F105&lt;&gt;"",(LARGE(A$7:A104,1)+1),"")</f>
        <v/>
      </c>
      <c r="B105" s="153"/>
      <c r="C105" s="135"/>
      <c r="D105" s="49"/>
      <c r="E105" s="46"/>
      <c r="F105" s="180"/>
      <c r="G105" s="57"/>
      <c r="H105" s="46"/>
      <c r="I105" s="46"/>
      <c r="J105" s="180"/>
      <c r="K105" s="57"/>
      <c r="L105" s="46"/>
      <c r="M105" s="46"/>
      <c r="N105" s="180"/>
    </row>
    <row r="106" spans="1:14" s="21" customFormat="1" ht="18.5" x14ac:dyDescent="0.45">
      <c r="A106" s="72">
        <f>IF(F106&lt;&gt;"",(LARGE(A$7:A105,1)+1),"")</f>
        <v>38</v>
      </c>
      <c r="B106" s="141" t="s">
        <v>241</v>
      </c>
      <c r="C106" s="135">
        <f>13*2.74</f>
        <v>35.620000000000005</v>
      </c>
      <c r="D106" s="49" t="s">
        <v>10</v>
      </c>
      <c r="E106" s="46">
        <f t="shared" ref="E106" si="183">G106+H106+J106+I106</f>
        <v>0</v>
      </c>
      <c r="F106" s="180">
        <f>E106*C106</f>
        <v>0</v>
      </c>
      <c r="G106" s="57">
        <v>0</v>
      </c>
      <c r="H106" s="46">
        <v>0</v>
      </c>
      <c r="I106" s="46">
        <f>IF(D106=0," ",(G106)*(Details!$C$4+Details!$C$8))</f>
        <v>0</v>
      </c>
      <c r="J106" s="180">
        <f>IF(D106=0," ",(H106)*(Details!$C$6+Details!$C$8))</f>
        <v>0</v>
      </c>
      <c r="K106" s="57">
        <f t="shared" ref="K106" si="184">+G106*C106</f>
        <v>0</v>
      </c>
      <c r="L106" s="46">
        <f t="shared" ref="L106" si="185">+H106*C106</f>
        <v>0</v>
      </c>
      <c r="M106" s="46">
        <f t="shared" ref="M106" si="186">IF(D106=0," ",(I106*C106))</f>
        <v>0</v>
      </c>
      <c r="N106" s="180">
        <f t="shared" ref="N106" si="187">IF(D106=0," ",(J106*C106))</f>
        <v>0</v>
      </c>
    </row>
    <row r="107" spans="1:14" s="21" customFormat="1" ht="18.5" x14ac:dyDescent="0.45">
      <c r="A107" s="72" t="str">
        <f>IF(F107&lt;&gt;"",(LARGE(A$7:A106,1)+1),"")</f>
        <v/>
      </c>
      <c r="B107" s="153"/>
      <c r="C107" s="135"/>
      <c r="D107" s="49"/>
      <c r="E107" s="46"/>
      <c r="F107" s="180"/>
      <c r="G107" s="57"/>
      <c r="H107" s="46"/>
      <c r="I107" s="46"/>
      <c r="J107" s="180"/>
      <c r="K107" s="57"/>
      <c r="L107" s="46"/>
      <c r="M107" s="46"/>
      <c r="N107" s="180"/>
    </row>
    <row r="108" spans="1:14" s="21" customFormat="1" ht="18.5" x14ac:dyDescent="0.45">
      <c r="A108" s="72">
        <f>IF(F108&lt;&gt;"",(LARGE(A$7:A107,1)+1),"")</f>
        <v>39</v>
      </c>
      <c r="B108" s="141" t="s">
        <v>242</v>
      </c>
      <c r="C108" s="135">
        <f>13*2.74</f>
        <v>35.620000000000005</v>
      </c>
      <c r="D108" s="49" t="s">
        <v>10</v>
      </c>
      <c r="E108" s="46">
        <f t="shared" ref="E108" si="188">G108+H108+J108+I108</f>
        <v>0</v>
      </c>
      <c r="F108" s="180">
        <f>E108*C108</f>
        <v>0</v>
      </c>
      <c r="G108" s="57">
        <v>0</v>
      </c>
      <c r="H108" s="46">
        <v>0</v>
      </c>
      <c r="I108" s="46">
        <f>IF(D108=0," ",(G108)*(Details!$C$4+Details!$C$8))</f>
        <v>0</v>
      </c>
      <c r="J108" s="180">
        <f>IF(D108=0," ",(H108)*(Details!$C$6+Details!$C$8))</f>
        <v>0</v>
      </c>
      <c r="K108" s="57">
        <f t="shared" ref="K108" si="189">+G108*C108</f>
        <v>0</v>
      </c>
      <c r="L108" s="46">
        <f t="shared" ref="L108" si="190">+H108*C108</f>
        <v>0</v>
      </c>
      <c r="M108" s="46">
        <f t="shared" ref="M108" si="191">IF(D108=0," ",(I108*C108))</f>
        <v>0</v>
      </c>
      <c r="N108" s="180">
        <f t="shared" ref="N108" si="192">IF(D108=0," ",(J108*C108))</f>
        <v>0</v>
      </c>
    </row>
    <row r="109" spans="1:14" s="21" customFormat="1" ht="18.5" x14ac:dyDescent="0.45">
      <c r="A109" s="72" t="str">
        <f>IF(F109&lt;&gt;"",(LARGE(A$7:A108,1)+1),"")</f>
        <v/>
      </c>
      <c r="B109" s="141"/>
      <c r="C109" s="135"/>
      <c r="D109" s="49"/>
      <c r="E109" s="46"/>
      <c r="F109" s="180"/>
      <c r="G109" s="57"/>
      <c r="H109" s="46"/>
      <c r="I109" s="46"/>
      <c r="J109" s="180"/>
      <c r="K109" s="57"/>
      <c r="L109" s="46"/>
      <c r="M109" s="46"/>
      <c r="N109" s="180"/>
    </row>
    <row r="110" spans="1:14" s="21" customFormat="1" ht="18.5" x14ac:dyDescent="0.45">
      <c r="A110" s="72">
        <f>IF(F110&lt;&gt;"",(LARGE(A$7:A109,1)+1),"")</f>
        <v>40</v>
      </c>
      <c r="B110" s="141" t="s">
        <v>218</v>
      </c>
      <c r="C110" s="135">
        <f>13*2.74</f>
        <v>35.620000000000005</v>
      </c>
      <c r="D110" s="49" t="s">
        <v>10</v>
      </c>
      <c r="E110" s="46">
        <f t="shared" ref="E110" si="193">G110+H110+J110+I110</f>
        <v>0</v>
      </c>
      <c r="F110" s="180">
        <f>E110*C110</f>
        <v>0</v>
      </c>
      <c r="G110" s="57">
        <v>0</v>
      </c>
      <c r="H110" s="46">
        <v>0</v>
      </c>
      <c r="I110" s="46">
        <f>IF(D110=0," ",(G110)*(Details!$C$4+Details!$C$8))</f>
        <v>0</v>
      </c>
      <c r="J110" s="180">
        <f>IF(D110=0," ",(H110)*(Details!$C$6+Details!$C$8))</f>
        <v>0</v>
      </c>
      <c r="K110" s="57">
        <f t="shared" ref="K110" si="194">+G110*C110</f>
        <v>0</v>
      </c>
      <c r="L110" s="46">
        <f t="shared" ref="L110" si="195">+H110*C110</f>
        <v>0</v>
      </c>
      <c r="M110" s="46">
        <f t="shared" ref="M110" si="196">IF(D110=0," ",(I110*C110))</f>
        <v>0</v>
      </c>
      <c r="N110" s="180">
        <f t="shared" ref="N110" si="197">IF(D110=0," ",(J110*C110))</f>
        <v>0</v>
      </c>
    </row>
    <row r="111" spans="1:14" s="21" customFormat="1" ht="18.5" x14ac:dyDescent="0.45">
      <c r="A111" s="72" t="str">
        <f>IF(F111&lt;&gt;"",(LARGE(A$7:A110,1)+1),"")</f>
        <v/>
      </c>
      <c r="B111" s="141"/>
      <c r="C111" s="135"/>
      <c r="D111" s="49"/>
      <c r="E111" s="46"/>
      <c r="F111" s="180"/>
      <c r="G111" s="57"/>
      <c r="H111" s="46"/>
      <c r="I111" s="46"/>
      <c r="J111" s="180"/>
      <c r="K111" s="57"/>
      <c r="L111" s="46"/>
      <c r="M111" s="46"/>
      <c r="N111" s="180"/>
    </row>
    <row r="112" spans="1:14" s="21" customFormat="1" ht="18.5" x14ac:dyDescent="0.45">
      <c r="A112" s="72" t="str">
        <f>IF(F112&lt;&gt;"",(LARGE(A$7:A111,1)+1),"")</f>
        <v/>
      </c>
      <c r="B112" s="153" t="s">
        <v>243</v>
      </c>
      <c r="C112" s="135"/>
      <c r="D112" s="49"/>
      <c r="E112" s="46"/>
      <c r="F112" s="180"/>
      <c r="G112" s="57"/>
      <c r="H112" s="46"/>
      <c r="I112" s="46"/>
      <c r="J112" s="180"/>
      <c r="K112" s="57"/>
      <c r="L112" s="46"/>
      <c r="M112" s="46"/>
      <c r="N112" s="180"/>
    </row>
    <row r="113" spans="1:14" s="21" customFormat="1" ht="18.5" x14ac:dyDescent="0.45">
      <c r="A113" s="72" t="str">
        <f>IF(F113&lt;&gt;"",(LARGE(A$7:A112,1)+1),"")</f>
        <v/>
      </c>
      <c r="B113" s="141"/>
      <c r="C113" s="135"/>
      <c r="D113" s="49"/>
      <c r="E113" s="46"/>
      <c r="F113" s="180"/>
      <c r="G113" s="57"/>
      <c r="H113" s="46"/>
      <c r="I113" s="46"/>
      <c r="J113" s="180"/>
      <c r="K113" s="57"/>
      <c r="L113" s="46"/>
      <c r="M113" s="46"/>
      <c r="N113" s="180"/>
    </row>
    <row r="114" spans="1:14" s="21" customFormat="1" ht="18.5" x14ac:dyDescent="0.45">
      <c r="A114" s="72">
        <f>IF(F114&lt;&gt;"",(LARGE(A$7:A113,1)+1),"")</f>
        <v>41</v>
      </c>
      <c r="B114" s="141" t="s">
        <v>216</v>
      </c>
      <c r="C114" s="135">
        <f>3*2.74</f>
        <v>8.2200000000000006</v>
      </c>
      <c r="D114" s="49" t="s">
        <v>10</v>
      </c>
      <c r="E114" s="46">
        <f t="shared" ref="E114" si="198">G114+H114+J114+I114</f>
        <v>0</v>
      </c>
      <c r="F114" s="180">
        <f>E114*C114</f>
        <v>0</v>
      </c>
      <c r="G114" s="57">
        <v>0</v>
      </c>
      <c r="H114" s="46">
        <v>0</v>
      </c>
      <c r="I114" s="46">
        <f>IF(D114=0," ",(G114)*(Details!$C$4+Details!$C$8))</f>
        <v>0</v>
      </c>
      <c r="J114" s="180">
        <f>IF(D114=0," ",(H114)*(Details!$C$6+Details!$C$8))</f>
        <v>0</v>
      </c>
      <c r="K114" s="57">
        <f t="shared" ref="K114" si="199">+G114*C114</f>
        <v>0</v>
      </c>
      <c r="L114" s="46">
        <f t="shared" ref="L114" si="200">+H114*C114</f>
        <v>0</v>
      </c>
      <c r="M114" s="46">
        <f t="shared" ref="M114" si="201">IF(D114=0," ",(I114*C114))</f>
        <v>0</v>
      </c>
      <c r="N114" s="180">
        <f t="shared" ref="N114" si="202">IF(D114=0," ",(J114*C114))</f>
        <v>0</v>
      </c>
    </row>
    <row r="115" spans="1:14" s="21" customFormat="1" ht="18.5" x14ac:dyDescent="0.45">
      <c r="A115" s="72" t="str">
        <f>IF(F115&lt;&gt;"",(LARGE(A$7:A114,1)+1),"")</f>
        <v/>
      </c>
      <c r="B115" s="141"/>
      <c r="C115" s="135"/>
      <c r="D115" s="49"/>
      <c r="E115" s="46"/>
      <c r="F115" s="180"/>
      <c r="G115" s="57"/>
      <c r="H115" s="46"/>
      <c r="I115" s="46"/>
      <c r="J115" s="180"/>
      <c r="K115" s="57"/>
      <c r="L115" s="46"/>
      <c r="M115" s="46"/>
      <c r="N115" s="180"/>
    </row>
    <row r="116" spans="1:14" s="21" customFormat="1" ht="18.5" x14ac:dyDescent="0.45">
      <c r="A116" s="72">
        <f>IF(F116&lt;&gt;"",(LARGE(A$7:A115,1)+1),"")</f>
        <v>42</v>
      </c>
      <c r="B116" s="141" t="s">
        <v>221</v>
      </c>
      <c r="C116" s="135">
        <f>3*2.74</f>
        <v>8.2200000000000006</v>
      </c>
      <c r="D116" s="49" t="s">
        <v>10</v>
      </c>
      <c r="E116" s="46">
        <f t="shared" ref="E116" si="203">G116+H116+J116+I116</f>
        <v>0</v>
      </c>
      <c r="F116" s="180">
        <f>E116*C116</f>
        <v>0</v>
      </c>
      <c r="G116" s="57">
        <v>0</v>
      </c>
      <c r="H116" s="46">
        <v>0</v>
      </c>
      <c r="I116" s="46">
        <f>IF(D116=0," ",(G116)*(Details!$C$4+Details!$C$8))</f>
        <v>0</v>
      </c>
      <c r="J116" s="180">
        <f>IF(D116=0," ",(H116)*(Details!$C$6+Details!$C$8))</f>
        <v>0</v>
      </c>
      <c r="K116" s="57">
        <f t="shared" ref="K116" si="204">+G116*C116</f>
        <v>0</v>
      </c>
      <c r="L116" s="46">
        <f t="shared" ref="L116" si="205">+H116*C116</f>
        <v>0</v>
      </c>
      <c r="M116" s="46">
        <f t="shared" ref="M116" si="206">IF(D116=0," ",(I116*C116))</f>
        <v>0</v>
      </c>
      <c r="N116" s="180">
        <f t="shared" ref="N116" si="207">IF(D116=0," ",(J116*C116))</f>
        <v>0</v>
      </c>
    </row>
    <row r="117" spans="1:14" s="21" customFormat="1" ht="18.5" x14ac:dyDescent="0.45">
      <c r="A117" s="72" t="str">
        <f>IF(F117&lt;&gt;"",(LARGE(A$7:A116,1)+1),"")</f>
        <v/>
      </c>
      <c r="B117" s="141"/>
      <c r="C117" s="135"/>
      <c r="D117" s="49"/>
      <c r="E117" s="46"/>
      <c r="F117" s="180"/>
      <c r="G117" s="57"/>
      <c r="H117" s="46"/>
      <c r="I117" s="46"/>
      <c r="J117" s="180"/>
      <c r="K117" s="57"/>
      <c r="L117" s="46"/>
      <c r="M117" s="46"/>
      <c r="N117" s="180"/>
    </row>
    <row r="118" spans="1:14" s="21" customFormat="1" ht="18.5" x14ac:dyDescent="0.45">
      <c r="A118" s="72">
        <f>IF(F118&lt;&gt;"",(LARGE(A$7:A117,1)+1),"")</f>
        <v>43</v>
      </c>
      <c r="B118" s="141" t="s">
        <v>218</v>
      </c>
      <c r="C118" s="135">
        <f>3*2.74</f>
        <v>8.2200000000000006</v>
      </c>
      <c r="D118" s="49" t="s">
        <v>10</v>
      </c>
      <c r="E118" s="46">
        <f t="shared" ref="E118" si="208">G118+H118+J118+I118</f>
        <v>0</v>
      </c>
      <c r="F118" s="180">
        <f>E118*C118</f>
        <v>0</v>
      </c>
      <c r="G118" s="57">
        <v>0</v>
      </c>
      <c r="H118" s="46">
        <v>0</v>
      </c>
      <c r="I118" s="46">
        <f>IF(D118=0," ",(G118)*(Details!$C$4+Details!$C$8))</f>
        <v>0</v>
      </c>
      <c r="J118" s="180">
        <f>IF(D118=0," ",(H118)*(Details!$C$6+Details!$C$8))</f>
        <v>0</v>
      </c>
      <c r="K118" s="57">
        <f t="shared" ref="K118" si="209">+G118*C118</f>
        <v>0</v>
      </c>
      <c r="L118" s="46">
        <f t="shared" ref="L118" si="210">+H118*C118</f>
        <v>0</v>
      </c>
      <c r="M118" s="46">
        <f t="shared" ref="M118" si="211">IF(D118=0," ",(I118*C118))</f>
        <v>0</v>
      </c>
      <c r="N118" s="180">
        <f t="shared" ref="N118" si="212">IF(D118=0," ",(J118*C118))</f>
        <v>0</v>
      </c>
    </row>
    <row r="119" spans="1:14" s="21" customFormat="1" ht="18.5" x14ac:dyDescent="0.45">
      <c r="A119" s="72" t="str">
        <f>IF(F119&lt;&gt;"",(LARGE(A$7:A118,1)+1),"")</f>
        <v/>
      </c>
      <c r="B119" s="141"/>
      <c r="C119" s="135"/>
      <c r="D119" s="49"/>
      <c r="E119" s="46"/>
      <c r="F119" s="180"/>
      <c r="G119" s="57"/>
      <c r="H119" s="46"/>
      <c r="I119" s="46"/>
      <c r="J119" s="180"/>
      <c r="K119" s="57"/>
      <c r="L119" s="46"/>
      <c r="M119" s="46"/>
      <c r="N119" s="180"/>
    </row>
    <row r="120" spans="1:14" s="21" customFormat="1" ht="18.5" x14ac:dyDescent="0.45">
      <c r="A120" s="72" t="str">
        <f>IF(F120&lt;&gt;"",(LARGE(A$7:A119,1)+1),"")</f>
        <v/>
      </c>
      <c r="B120" s="153" t="s">
        <v>244</v>
      </c>
      <c r="C120" s="135"/>
      <c r="D120" s="49"/>
      <c r="E120" s="46"/>
      <c r="F120" s="180"/>
      <c r="G120" s="57"/>
      <c r="H120" s="46"/>
      <c r="I120" s="46"/>
      <c r="J120" s="180"/>
      <c r="K120" s="57"/>
      <c r="L120" s="46"/>
      <c r="M120" s="46"/>
      <c r="N120" s="180"/>
    </row>
    <row r="121" spans="1:14" s="21" customFormat="1" ht="18.5" x14ac:dyDescent="0.45">
      <c r="A121" s="72" t="str">
        <f>IF(F121&lt;&gt;"",(LARGE(A$7:A120,1)+1),"")</f>
        <v/>
      </c>
      <c r="B121" s="141"/>
      <c r="C121" s="135"/>
      <c r="D121" s="49"/>
      <c r="E121" s="46"/>
      <c r="F121" s="180"/>
      <c r="G121" s="57"/>
      <c r="H121" s="46"/>
      <c r="I121" s="46"/>
      <c r="J121" s="180"/>
      <c r="K121" s="57"/>
      <c r="L121" s="46"/>
      <c r="M121" s="46"/>
      <c r="N121" s="180"/>
    </row>
    <row r="122" spans="1:14" s="21" customFormat="1" ht="18.5" x14ac:dyDescent="0.45">
      <c r="A122" s="72">
        <f>IF(F122&lt;&gt;"",(LARGE(A$7:A121,1)+1),"")</f>
        <v>44</v>
      </c>
      <c r="B122" s="141" t="s">
        <v>225</v>
      </c>
      <c r="C122" s="135">
        <f>13*3</f>
        <v>39</v>
      </c>
      <c r="D122" s="49" t="s">
        <v>10</v>
      </c>
      <c r="E122" s="46">
        <f t="shared" ref="E122" si="213">G122+H122+J122+I122</f>
        <v>0</v>
      </c>
      <c r="F122" s="180">
        <f>E122*C122</f>
        <v>0</v>
      </c>
      <c r="G122" s="57">
        <v>0</v>
      </c>
      <c r="H122" s="46">
        <v>0</v>
      </c>
      <c r="I122" s="46">
        <f>IF(D122=0," ",(G122)*(Details!$C$4+Details!$C$8))</f>
        <v>0</v>
      </c>
      <c r="J122" s="180">
        <f>IF(D122=0," ",(H122)*(Details!$C$6+Details!$C$8))</f>
        <v>0</v>
      </c>
      <c r="K122" s="57">
        <f t="shared" ref="K122" si="214">+G122*C122</f>
        <v>0</v>
      </c>
      <c r="L122" s="46">
        <f t="shared" ref="L122" si="215">+H122*C122</f>
        <v>0</v>
      </c>
      <c r="M122" s="46">
        <f t="shared" ref="M122" si="216">IF(D122=0," ",(I122*C122))</f>
        <v>0</v>
      </c>
      <c r="N122" s="180">
        <f t="shared" ref="N122" si="217">IF(D122=0," ",(J122*C122))</f>
        <v>0</v>
      </c>
    </row>
    <row r="123" spans="1:14" s="21" customFormat="1" ht="18.5" x14ac:dyDescent="0.45">
      <c r="A123" s="72" t="str">
        <f>IF(F123&lt;&gt;"",(LARGE(A$7:A122,1)+1),"")</f>
        <v/>
      </c>
      <c r="B123" s="141"/>
      <c r="C123" s="135"/>
      <c r="D123" s="49"/>
      <c r="E123" s="46"/>
      <c r="F123" s="180"/>
      <c r="G123" s="57"/>
      <c r="H123" s="46"/>
      <c r="I123" s="46"/>
      <c r="J123" s="180"/>
      <c r="K123" s="57"/>
      <c r="L123" s="46"/>
      <c r="M123" s="46"/>
      <c r="N123" s="180"/>
    </row>
    <row r="124" spans="1:14" s="21" customFormat="1" ht="18.5" x14ac:dyDescent="0.45">
      <c r="A124" s="72">
        <f>IF(F124&lt;&gt;"",(LARGE(A$7:A123,1)+1),"")</f>
        <v>45</v>
      </c>
      <c r="B124" s="141" t="s">
        <v>245</v>
      </c>
      <c r="C124" s="135">
        <f>13*3*2</f>
        <v>78</v>
      </c>
      <c r="D124" s="49" t="s">
        <v>10</v>
      </c>
      <c r="E124" s="46">
        <f t="shared" ref="E124" si="218">G124+H124+J124+I124</f>
        <v>0</v>
      </c>
      <c r="F124" s="180">
        <f>E124*C124</f>
        <v>0</v>
      </c>
      <c r="G124" s="57">
        <v>0</v>
      </c>
      <c r="H124" s="46">
        <v>0</v>
      </c>
      <c r="I124" s="46">
        <f>IF(D124=0," ",(G124)*(Details!$C$4+Details!$C$8))</f>
        <v>0</v>
      </c>
      <c r="J124" s="180">
        <f>IF(D124=0," ",(H124)*(Details!$C$6+Details!$C$8))</f>
        <v>0</v>
      </c>
      <c r="K124" s="57">
        <f t="shared" ref="K124" si="219">+G124*C124</f>
        <v>0</v>
      </c>
      <c r="L124" s="46">
        <f t="shared" ref="L124" si="220">+H124*C124</f>
        <v>0</v>
      </c>
      <c r="M124" s="46">
        <f t="shared" ref="M124" si="221">IF(D124=0," ",(I124*C124))</f>
        <v>0</v>
      </c>
      <c r="N124" s="180">
        <f t="shared" ref="N124" si="222">IF(D124=0," ",(J124*C124))</f>
        <v>0</v>
      </c>
    </row>
    <row r="125" spans="1:14" s="21" customFormat="1" ht="18.5" x14ac:dyDescent="0.45">
      <c r="A125" s="72" t="str">
        <f>IF(F125&lt;&gt;"",(LARGE(A$7:A124,1)+1),"")</f>
        <v/>
      </c>
      <c r="B125" s="141"/>
      <c r="C125" s="135"/>
      <c r="D125" s="49"/>
      <c r="E125" s="46"/>
      <c r="F125" s="180"/>
      <c r="G125" s="57"/>
      <c r="H125" s="46"/>
      <c r="I125" s="46"/>
      <c r="J125" s="180"/>
      <c r="K125" s="57"/>
      <c r="L125" s="46"/>
      <c r="M125" s="46"/>
      <c r="N125" s="180"/>
    </row>
    <row r="126" spans="1:14" s="21" customFormat="1" ht="18.5" x14ac:dyDescent="0.45">
      <c r="A126" s="72">
        <f>IF(F126&lt;&gt;"",(LARGE(A$7:A125,1)+1),"")</f>
        <v>46</v>
      </c>
      <c r="B126" s="141" t="s">
        <v>227</v>
      </c>
      <c r="C126" s="135">
        <f>13*3</f>
        <v>39</v>
      </c>
      <c r="D126" s="49" t="s">
        <v>10</v>
      </c>
      <c r="E126" s="46">
        <f t="shared" ref="E126" si="223">G126+H126+J126+I126</f>
        <v>0</v>
      </c>
      <c r="F126" s="180">
        <f>E126*C126</f>
        <v>0</v>
      </c>
      <c r="G126" s="57">
        <v>0</v>
      </c>
      <c r="H126" s="46">
        <v>0</v>
      </c>
      <c r="I126" s="46">
        <f>IF(D126=0," ",(G126)*(Details!$C$4+Details!$C$8))</f>
        <v>0</v>
      </c>
      <c r="J126" s="180">
        <f>IF(D126=0," ",(H126)*(Details!$C$6+Details!$C$8))</f>
        <v>0</v>
      </c>
      <c r="K126" s="57">
        <f t="shared" ref="K126" si="224">+G126*C126</f>
        <v>0</v>
      </c>
      <c r="L126" s="46">
        <f t="shared" ref="L126" si="225">+H126*C126</f>
        <v>0</v>
      </c>
      <c r="M126" s="46">
        <f t="shared" ref="M126" si="226">IF(D126=0," ",(I126*C126))</f>
        <v>0</v>
      </c>
      <c r="N126" s="180">
        <f t="shared" ref="N126" si="227">IF(D126=0," ",(J126*C126))</f>
        <v>0</v>
      </c>
    </row>
    <row r="127" spans="1:14" s="21" customFormat="1" ht="18.5" x14ac:dyDescent="0.45">
      <c r="A127" s="72" t="str">
        <f>IF(F127&lt;&gt;"",(LARGE(A$7:A126,1)+1),"")</f>
        <v/>
      </c>
      <c r="B127" s="141"/>
      <c r="C127" s="135"/>
      <c r="D127" s="49"/>
      <c r="E127" s="46"/>
      <c r="F127" s="180"/>
      <c r="G127" s="57"/>
      <c r="H127" s="46"/>
      <c r="I127" s="46"/>
      <c r="J127" s="180"/>
      <c r="K127" s="57"/>
      <c r="L127" s="46"/>
      <c r="M127" s="46"/>
      <c r="N127" s="180"/>
    </row>
    <row r="128" spans="1:14" s="21" customFormat="1" ht="18.5" x14ac:dyDescent="0.45">
      <c r="A128" s="72">
        <f>IF(F128&lt;&gt;"",(LARGE(A$7:A127,1)+1),"")</f>
        <v>47</v>
      </c>
      <c r="B128" s="141" t="s">
        <v>218</v>
      </c>
      <c r="C128" s="135">
        <f>13*3*2</f>
        <v>78</v>
      </c>
      <c r="D128" s="49" t="s">
        <v>10</v>
      </c>
      <c r="E128" s="46">
        <f t="shared" ref="E128" si="228">G128+H128+J128+I128</f>
        <v>0</v>
      </c>
      <c r="F128" s="180">
        <f>E128*C128</f>
        <v>0</v>
      </c>
      <c r="G128" s="57">
        <v>0</v>
      </c>
      <c r="H128" s="46">
        <v>0</v>
      </c>
      <c r="I128" s="46">
        <f>IF(D128=0," ",(G128)*(Details!$C$4+Details!$C$8))</f>
        <v>0</v>
      </c>
      <c r="J128" s="180">
        <f>IF(D128=0," ",(H128)*(Details!$C$6+Details!$C$8))</f>
        <v>0</v>
      </c>
      <c r="K128" s="57">
        <f t="shared" ref="K128" si="229">+G128*C128</f>
        <v>0</v>
      </c>
      <c r="L128" s="46">
        <f t="shared" ref="L128" si="230">+H128*C128</f>
        <v>0</v>
      </c>
      <c r="M128" s="46">
        <f t="shared" ref="M128" si="231">IF(D128=0," ",(I128*C128))</f>
        <v>0</v>
      </c>
      <c r="N128" s="180">
        <f t="shared" ref="N128" si="232">IF(D128=0," ",(J128*C128))</f>
        <v>0</v>
      </c>
    </row>
    <row r="129" spans="1:14" s="21" customFormat="1" ht="18.5" x14ac:dyDescent="0.45">
      <c r="A129" s="72" t="str">
        <f>IF(F129&lt;&gt;"",(LARGE(A$7:A128,1)+1),"")</f>
        <v/>
      </c>
      <c r="B129" s="141"/>
      <c r="C129" s="135"/>
      <c r="D129" s="49"/>
      <c r="E129" s="46"/>
      <c r="F129" s="180"/>
      <c r="G129" s="57"/>
      <c r="H129" s="46"/>
      <c r="I129" s="46"/>
      <c r="J129" s="180"/>
      <c r="K129" s="57"/>
      <c r="L129" s="46"/>
      <c r="M129" s="46"/>
      <c r="N129" s="180"/>
    </row>
    <row r="130" spans="1:14" s="21" customFormat="1" ht="18.5" x14ac:dyDescent="0.45">
      <c r="A130" s="72" t="str">
        <f>IF(F130&lt;&gt;"",(LARGE(A$7:A129,1)+1),"")</f>
        <v/>
      </c>
      <c r="B130" s="153" t="s">
        <v>246</v>
      </c>
      <c r="C130" s="135"/>
      <c r="D130" s="49"/>
      <c r="E130" s="46"/>
      <c r="F130" s="180"/>
      <c r="G130" s="57"/>
      <c r="H130" s="46"/>
      <c r="I130" s="46"/>
      <c r="J130" s="180"/>
      <c r="K130" s="57"/>
      <c r="L130" s="46"/>
      <c r="M130" s="46"/>
      <c r="N130" s="180"/>
    </row>
    <row r="131" spans="1:14" s="21" customFormat="1" ht="18.5" x14ac:dyDescent="0.45">
      <c r="A131" s="72" t="str">
        <f>IF(F131&lt;&gt;"",(LARGE(A$7:A130,1)+1),"")</f>
        <v/>
      </c>
      <c r="B131" s="141"/>
      <c r="C131" s="135"/>
      <c r="D131" s="49"/>
      <c r="E131" s="46"/>
      <c r="F131" s="180"/>
      <c r="G131" s="57"/>
      <c r="H131" s="46"/>
      <c r="I131" s="46"/>
      <c r="J131" s="180"/>
      <c r="K131" s="57"/>
      <c r="L131" s="46"/>
      <c r="M131" s="46"/>
      <c r="N131" s="180"/>
    </row>
    <row r="132" spans="1:14" s="21" customFormat="1" ht="18.5" x14ac:dyDescent="0.45">
      <c r="A132" s="72">
        <f>IF(F132&lt;&gt;"",(LARGE(A$7:A131,1)+1),"")</f>
        <v>48</v>
      </c>
      <c r="B132" s="141" t="s">
        <v>225</v>
      </c>
      <c r="C132" s="135">
        <f>38*3</f>
        <v>114</v>
      </c>
      <c r="D132" s="49" t="s">
        <v>10</v>
      </c>
      <c r="E132" s="46">
        <f t="shared" ref="E132" si="233">G132+H132+J132+I132</f>
        <v>0</v>
      </c>
      <c r="F132" s="180">
        <f>E132*C132</f>
        <v>0</v>
      </c>
      <c r="G132" s="57">
        <v>0</v>
      </c>
      <c r="H132" s="46">
        <v>0</v>
      </c>
      <c r="I132" s="46">
        <f>IF(D132=0," ",(G132)*(Details!$C$4+Details!$C$8))</f>
        <v>0</v>
      </c>
      <c r="J132" s="180">
        <f>IF(D132=0," ",(H132)*(Details!$C$6+Details!$C$8))</f>
        <v>0</v>
      </c>
      <c r="K132" s="57">
        <f t="shared" ref="K132" si="234">+G132*C132</f>
        <v>0</v>
      </c>
      <c r="L132" s="46">
        <f t="shared" ref="L132" si="235">+H132*C132</f>
        <v>0</v>
      </c>
      <c r="M132" s="46">
        <f t="shared" ref="M132" si="236">IF(D132=0," ",(I132*C132))</f>
        <v>0</v>
      </c>
      <c r="N132" s="180">
        <f t="shared" ref="N132" si="237">IF(D132=0," ",(J132*C132))</f>
        <v>0</v>
      </c>
    </row>
    <row r="133" spans="1:14" s="21" customFormat="1" ht="18.5" x14ac:dyDescent="0.45">
      <c r="A133" s="72" t="str">
        <f>IF(F133&lt;&gt;"",(LARGE(A$7:A132,1)+1),"")</f>
        <v/>
      </c>
      <c r="B133" s="141"/>
      <c r="C133" s="135"/>
      <c r="D133" s="49"/>
      <c r="E133" s="46"/>
      <c r="F133" s="180"/>
      <c r="G133" s="57"/>
      <c r="H133" s="46"/>
      <c r="I133" s="46"/>
      <c r="J133" s="180"/>
      <c r="K133" s="57"/>
      <c r="L133" s="46"/>
      <c r="M133" s="46"/>
      <c r="N133" s="180"/>
    </row>
    <row r="134" spans="1:14" s="21" customFormat="1" ht="18.5" x14ac:dyDescent="0.45">
      <c r="A134" s="72">
        <f>IF(F134&lt;&gt;"",(LARGE(A$7:A133,1)+1),"")</f>
        <v>49</v>
      </c>
      <c r="B134" s="141" t="s">
        <v>245</v>
      </c>
      <c r="C134" s="135">
        <f>38*3*2</f>
        <v>228</v>
      </c>
      <c r="D134" s="49" t="s">
        <v>10</v>
      </c>
      <c r="E134" s="46">
        <f t="shared" ref="E134" si="238">G134+H134+J134+I134</f>
        <v>0</v>
      </c>
      <c r="F134" s="180">
        <f>E134*C134</f>
        <v>0</v>
      </c>
      <c r="G134" s="57">
        <v>0</v>
      </c>
      <c r="H134" s="46">
        <v>0</v>
      </c>
      <c r="I134" s="46">
        <f>IF(D134=0," ",(G134)*(Details!$C$4+Details!$C$8))</f>
        <v>0</v>
      </c>
      <c r="J134" s="180">
        <f>IF(D134=0," ",(H134)*(Details!$C$6+Details!$C$8))</f>
        <v>0</v>
      </c>
      <c r="K134" s="57">
        <f t="shared" ref="K134" si="239">+G134*C134</f>
        <v>0</v>
      </c>
      <c r="L134" s="46">
        <f t="shared" ref="L134" si="240">+H134*C134</f>
        <v>0</v>
      </c>
      <c r="M134" s="46">
        <f t="shared" ref="M134" si="241">IF(D134=0," ",(I134*C134))</f>
        <v>0</v>
      </c>
      <c r="N134" s="180">
        <f t="shared" ref="N134" si="242">IF(D134=0," ",(J134*C134))</f>
        <v>0</v>
      </c>
    </row>
    <row r="135" spans="1:14" s="21" customFormat="1" ht="18.5" x14ac:dyDescent="0.45">
      <c r="A135" s="72" t="str">
        <f>IF(F135&lt;&gt;"",(LARGE(A$7:A134,1)+1),"")</f>
        <v/>
      </c>
      <c r="B135" s="141"/>
      <c r="C135" s="135"/>
      <c r="D135" s="49"/>
      <c r="E135" s="46"/>
      <c r="F135" s="180"/>
      <c r="G135" s="57"/>
      <c r="H135" s="46"/>
      <c r="I135" s="46"/>
      <c r="J135" s="180"/>
      <c r="K135" s="57"/>
      <c r="L135" s="46"/>
      <c r="M135" s="46"/>
      <c r="N135" s="180"/>
    </row>
    <row r="136" spans="1:14" s="21" customFormat="1" ht="18.5" x14ac:dyDescent="0.45">
      <c r="A136" s="72">
        <f>IF(F136&lt;&gt;"",(LARGE(A$7:A135,1)+1),"")</f>
        <v>50</v>
      </c>
      <c r="B136" s="141" t="s">
        <v>230</v>
      </c>
      <c r="C136" s="135">
        <f>38*3</f>
        <v>114</v>
      </c>
      <c r="D136" s="49" t="s">
        <v>10</v>
      </c>
      <c r="E136" s="46">
        <f t="shared" ref="E136" si="243">G136+H136+J136+I136</f>
        <v>0</v>
      </c>
      <c r="F136" s="180">
        <f>E136*C136</f>
        <v>0</v>
      </c>
      <c r="G136" s="57">
        <v>0</v>
      </c>
      <c r="H136" s="46">
        <v>0</v>
      </c>
      <c r="I136" s="46">
        <f>IF(D136=0," ",(G136)*(Details!$C$4+Details!$C$8))</f>
        <v>0</v>
      </c>
      <c r="J136" s="180">
        <f>IF(D136=0," ",(H136)*(Details!$C$6+Details!$C$8))</f>
        <v>0</v>
      </c>
      <c r="K136" s="57">
        <f t="shared" ref="K136" si="244">+G136*C136</f>
        <v>0</v>
      </c>
      <c r="L136" s="46">
        <f t="shared" ref="L136" si="245">+H136*C136</f>
        <v>0</v>
      </c>
      <c r="M136" s="46">
        <f t="shared" ref="M136" si="246">IF(D136=0," ",(I136*C136))</f>
        <v>0</v>
      </c>
      <c r="N136" s="180">
        <f t="shared" ref="N136" si="247">IF(D136=0," ",(J136*C136))</f>
        <v>0</v>
      </c>
    </row>
    <row r="137" spans="1:14" s="21" customFormat="1" ht="18.5" x14ac:dyDescent="0.45">
      <c r="A137" s="72" t="str">
        <f>IF(F137&lt;&gt;"",(LARGE(A$7:A136,1)+1),"")</f>
        <v/>
      </c>
      <c r="B137" s="141"/>
      <c r="C137" s="135"/>
      <c r="D137" s="49"/>
      <c r="E137" s="46"/>
      <c r="F137" s="180"/>
      <c r="G137" s="57"/>
      <c r="H137" s="46"/>
      <c r="I137" s="46"/>
      <c r="J137" s="180"/>
      <c r="K137" s="57"/>
      <c r="L137" s="46"/>
      <c r="M137" s="46"/>
      <c r="N137" s="180"/>
    </row>
    <row r="138" spans="1:14" s="21" customFormat="1" ht="18.5" x14ac:dyDescent="0.45">
      <c r="A138" s="72">
        <f>IF(F138&lt;&gt;"",(LARGE(A$7:A137,1)+1),"")</f>
        <v>51</v>
      </c>
      <c r="B138" s="141" t="s">
        <v>218</v>
      </c>
      <c r="C138" s="135">
        <f>38*3*2</f>
        <v>228</v>
      </c>
      <c r="D138" s="49" t="s">
        <v>10</v>
      </c>
      <c r="E138" s="46">
        <f t="shared" ref="E138" si="248">G138+H138+J138+I138</f>
        <v>0</v>
      </c>
      <c r="F138" s="180">
        <f>E138*C138</f>
        <v>0</v>
      </c>
      <c r="G138" s="57">
        <v>0</v>
      </c>
      <c r="H138" s="46">
        <v>0</v>
      </c>
      <c r="I138" s="46">
        <f>IF(D138=0," ",(G138)*(Details!$C$4+Details!$C$8))</f>
        <v>0</v>
      </c>
      <c r="J138" s="180">
        <f>IF(D138=0," ",(H138)*(Details!$C$6+Details!$C$8))</f>
        <v>0</v>
      </c>
      <c r="K138" s="57">
        <f t="shared" ref="K138" si="249">+G138*C138</f>
        <v>0</v>
      </c>
      <c r="L138" s="46">
        <f t="shared" ref="L138" si="250">+H138*C138</f>
        <v>0</v>
      </c>
      <c r="M138" s="46">
        <f t="shared" ref="M138" si="251">IF(D138=0," ",(I138*C138))</f>
        <v>0</v>
      </c>
      <c r="N138" s="180">
        <f t="shared" ref="N138" si="252">IF(D138=0," ",(J138*C138))</f>
        <v>0</v>
      </c>
    </row>
    <row r="139" spans="1:14" s="21" customFormat="1" ht="18.5" x14ac:dyDescent="0.45">
      <c r="A139" s="72" t="str">
        <f>IF(F139&lt;&gt;"",(LARGE(A$7:A138,1)+1),"")</f>
        <v/>
      </c>
      <c r="B139" s="141"/>
      <c r="C139" s="135"/>
      <c r="D139" s="49"/>
      <c r="E139" s="46"/>
      <c r="F139" s="180"/>
      <c r="G139" s="57"/>
      <c r="H139" s="46"/>
      <c r="I139" s="46"/>
      <c r="J139" s="180"/>
      <c r="K139" s="57"/>
      <c r="L139" s="46"/>
      <c r="M139" s="46"/>
      <c r="N139" s="180"/>
    </row>
    <row r="140" spans="1:14" s="21" customFormat="1" ht="18.5" x14ac:dyDescent="0.45">
      <c r="A140" s="72" t="str">
        <f>IF(F140&lt;&gt;"",(LARGE(A$7:A139,1)+1),"")</f>
        <v/>
      </c>
      <c r="B140" s="141"/>
      <c r="C140" s="135"/>
      <c r="D140" s="49"/>
      <c r="E140" s="46"/>
      <c r="F140" s="180"/>
      <c r="G140" s="57"/>
      <c r="H140" s="46"/>
      <c r="I140" s="46"/>
      <c r="J140" s="180"/>
      <c r="K140" s="57"/>
      <c r="L140" s="46"/>
      <c r="M140" s="46"/>
      <c r="N140" s="180"/>
    </row>
    <row r="141" spans="1:14" s="21" customFormat="1" ht="18.5" x14ac:dyDescent="0.45">
      <c r="A141" s="72" t="str">
        <f>IF(F141&lt;&gt;"",(LARGE(A$7:A140,1)+1),"")</f>
        <v/>
      </c>
      <c r="B141" s="153" t="s">
        <v>38</v>
      </c>
      <c r="C141" s="135"/>
      <c r="D141" s="49"/>
      <c r="E141" s="46"/>
      <c r="F141" s="180"/>
      <c r="G141" s="57"/>
      <c r="H141" s="46"/>
      <c r="I141" s="46" t="str">
        <f>IF(D141=0," ",(G141)*(Details!$C$4+Details!$C$8))</f>
        <v xml:space="preserve"> </v>
      </c>
      <c r="J141" s="180" t="str">
        <f>IF(D141=0," ",(H141)*(Details!$C$6+Details!$C$8))</f>
        <v xml:space="preserve"> </v>
      </c>
      <c r="K141" s="57"/>
      <c r="L141" s="46"/>
      <c r="M141" s="46" t="str">
        <f t="shared" ref="M141" si="253">IF(D141=0," ",(I141*C141))</f>
        <v xml:space="preserve"> </v>
      </c>
      <c r="N141" s="180" t="str">
        <f t="shared" ref="N141" si="254">IF(D141=0," ",(J141*C141))</f>
        <v xml:space="preserve"> </v>
      </c>
    </row>
    <row r="142" spans="1:14" s="21" customFormat="1" ht="18.5" x14ac:dyDescent="0.45">
      <c r="A142" s="72" t="str">
        <f>IF(F142&lt;&gt;"",(LARGE(A$7:A141,1)+1),"")</f>
        <v/>
      </c>
      <c r="B142" s="147"/>
      <c r="C142" s="135"/>
      <c r="D142" s="49"/>
      <c r="E142" s="46"/>
      <c r="F142" s="180"/>
      <c r="G142" s="57"/>
      <c r="H142" s="46"/>
      <c r="I142" s="46"/>
      <c r="J142" s="180"/>
      <c r="K142" s="194"/>
      <c r="L142" s="20"/>
      <c r="M142" s="20"/>
      <c r="N142" s="180"/>
    </row>
    <row r="143" spans="1:14" s="21" customFormat="1" ht="18.5" x14ac:dyDescent="0.45">
      <c r="A143" s="72">
        <f>IF(F143&lt;&gt;"",(LARGE(A$7:A142,1)+1),"")</f>
        <v>52</v>
      </c>
      <c r="B143" s="141" t="s">
        <v>250</v>
      </c>
      <c r="C143" s="135">
        <v>390</v>
      </c>
      <c r="D143" s="49" t="s">
        <v>10</v>
      </c>
      <c r="E143" s="46">
        <f t="shared" ref="E143" si="255">G143+H143+J143+I143</f>
        <v>0</v>
      </c>
      <c r="F143" s="180">
        <f>E143*C143</f>
        <v>0</v>
      </c>
      <c r="G143" s="57">
        <v>0</v>
      </c>
      <c r="H143" s="46">
        <v>0</v>
      </c>
      <c r="I143" s="46">
        <f>IF(D143=0," ",(G143)*(Details!$C$4+Details!$C$8))</f>
        <v>0</v>
      </c>
      <c r="J143" s="180">
        <f>IF(D143=0," ",(H143)*(Details!$C$6+Details!$C$8))</f>
        <v>0</v>
      </c>
      <c r="K143" s="57">
        <f t="shared" ref="K143" si="256">+G143*C143</f>
        <v>0</v>
      </c>
      <c r="L143" s="46">
        <f t="shared" ref="L143" si="257">+H143*C143</f>
        <v>0</v>
      </c>
      <c r="M143" s="46">
        <f t="shared" ref="M143" si="258">IF(D143=0," ",(I143*C143))</f>
        <v>0</v>
      </c>
      <c r="N143" s="180">
        <f t="shared" ref="N143" si="259">IF(D143=0," ",(J143*C143))</f>
        <v>0</v>
      </c>
    </row>
    <row r="144" spans="1:14" s="21" customFormat="1" ht="18.5" x14ac:dyDescent="0.45">
      <c r="A144" s="72" t="str">
        <f>IF(F144&lt;&gt;"",(LARGE(A$7:A143,1)+1),"")</f>
        <v/>
      </c>
      <c r="B144" s="141"/>
      <c r="C144" s="142"/>
      <c r="D144" s="49"/>
      <c r="E144" s="46"/>
      <c r="F144" s="180"/>
      <c r="G144" s="57"/>
      <c r="H144" s="46"/>
      <c r="I144" s="46"/>
      <c r="J144" s="180"/>
      <c r="K144" s="194"/>
      <c r="L144" s="20"/>
      <c r="M144" s="20"/>
      <c r="N144" s="180"/>
    </row>
    <row r="145" spans="1:16" s="21" customFormat="1" ht="18.5" x14ac:dyDescent="0.45">
      <c r="A145" s="72" t="str">
        <f>IF(F145&lt;&gt;"",(LARGE(A$7:A144,1)+1),"")</f>
        <v/>
      </c>
      <c r="B145" s="153" t="s">
        <v>180</v>
      </c>
      <c r="C145" s="142"/>
      <c r="D145" s="49"/>
      <c r="E145" s="46"/>
      <c r="F145" s="180"/>
      <c r="G145" s="57"/>
      <c r="H145" s="46"/>
      <c r="I145" s="46" t="str">
        <f>IF(D145=0," ",(G145)*(Details!$C$4+Details!$C$8))</f>
        <v xml:space="preserve"> </v>
      </c>
      <c r="J145" s="180" t="str">
        <f>IF(D145=0," ",(H145)*(Details!$C$6+Details!$C$8))</f>
        <v xml:space="preserve"> </v>
      </c>
      <c r="K145" s="57"/>
      <c r="L145" s="46"/>
      <c r="M145" s="46" t="str">
        <f t="shared" ref="M145" si="260">IF(D145=0," ",(I145*C145))</f>
        <v xml:space="preserve"> </v>
      </c>
      <c r="N145" s="180" t="str">
        <f t="shared" ref="N145" si="261">IF(D145=0," ",(J145*C145))</f>
        <v xml:space="preserve"> </v>
      </c>
    </row>
    <row r="146" spans="1:16" s="21" customFormat="1" ht="18.5" x14ac:dyDescent="0.45">
      <c r="A146" s="72" t="str">
        <f>IF(F146&lt;&gt;"",(LARGE(A$7:A145,1)+1),"")</f>
        <v/>
      </c>
      <c r="B146" s="36"/>
      <c r="C146" s="135"/>
      <c r="D146" s="58"/>
      <c r="E146" s="46"/>
      <c r="F146" s="180"/>
      <c r="G146" s="57"/>
      <c r="H146" s="46"/>
      <c r="I146" s="46"/>
      <c r="J146" s="180"/>
      <c r="K146" s="194"/>
      <c r="L146" s="20"/>
      <c r="M146" s="20"/>
      <c r="N146" s="180"/>
    </row>
    <row r="147" spans="1:16" s="21" customFormat="1" ht="18.5" x14ac:dyDescent="0.45">
      <c r="A147" s="72">
        <f>IF(F147&lt;&gt;"",(LARGE(A$7:A146,1)+1),"")</f>
        <v>53</v>
      </c>
      <c r="B147" s="141" t="s">
        <v>34</v>
      </c>
      <c r="C147" s="135">
        <v>390</v>
      </c>
      <c r="D147" s="49" t="s">
        <v>10</v>
      </c>
      <c r="E147" s="46">
        <f t="shared" ref="E147" si="262">G147+H147+J147+I147</f>
        <v>0</v>
      </c>
      <c r="F147" s="180">
        <f>E147*C147</f>
        <v>0</v>
      </c>
      <c r="G147" s="57">
        <v>0</v>
      </c>
      <c r="H147" s="46">
        <v>0</v>
      </c>
      <c r="I147" s="46">
        <f>IF(D147=0," ",(G147)*(Details!$C$4+Details!$C$8))</f>
        <v>0</v>
      </c>
      <c r="J147" s="180">
        <f>IF(D147=0," ",(H147)*(Details!$C$6+Details!$C$8))</f>
        <v>0</v>
      </c>
      <c r="K147" s="57">
        <f t="shared" ref="K147" si="263">+G147*C147</f>
        <v>0</v>
      </c>
      <c r="L147" s="46">
        <f t="shared" ref="L147" si="264">+H147*C147</f>
        <v>0</v>
      </c>
      <c r="M147" s="46">
        <f t="shared" ref="M147" si="265">IF(D147=0," ",(I147*C147))</f>
        <v>0</v>
      </c>
      <c r="N147" s="180">
        <f t="shared" ref="N147" si="266">IF(D147=0," ",(J147*C147))</f>
        <v>0</v>
      </c>
    </row>
    <row r="148" spans="1:16" s="21" customFormat="1" ht="18.5" x14ac:dyDescent="0.45">
      <c r="A148" s="72" t="str">
        <f>IF(F148&lt;&gt;"",(LARGE(A$7:A147,1)+1),"")</f>
        <v/>
      </c>
      <c r="B148" s="141"/>
      <c r="C148" s="135"/>
      <c r="D148" s="58"/>
      <c r="E148" s="46"/>
      <c r="F148" s="180"/>
      <c r="G148" s="57"/>
      <c r="H148" s="46"/>
      <c r="I148" s="46"/>
      <c r="J148" s="180"/>
      <c r="K148" s="194"/>
      <c r="L148" s="20"/>
      <c r="M148" s="20"/>
      <c r="N148" s="180"/>
    </row>
    <row r="149" spans="1:16" s="21" customFormat="1" ht="18.5" x14ac:dyDescent="0.45">
      <c r="A149" s="72" t="str">
        <f>IF(F149&lt;&gt;"",(LARGE(A$7:A148,1)+1),"")</f>
        <v/>
      </c>
      <c r="B149" s="153" t="s">
        <v>173</v>
      </c>
      <c r="C149" s="142"/>
      <c r="D149" s="49"/>
      <c r="E149" s="46"/>
      <c r="F149" s="180"/>
      <c r="G149" s="57"/>
      <c r="H149" s="46"/>
      <c r="I149" s="46"/>
      <c r="J149" s="180"/>
      <c r="K149" s="57"/>
      <c r="L149" s="46"/>
      <c r="M149" s="46"/>
      <c r="N149" s="180"/>
    </row>
    <row r="150" spans="1:16" s="21" customFormat="1" ht="18.5" x14ac:dyDescent="0.45">
      <c r="A150" s="72" t="str">
        <f>IF(F150&lt;&gt;"",(LARGE(A$7:A149,1)+1),"")</f>
        <v/>
      </c>
      <c r="B150" s="36"/>
      <c r="C150" s="135"/>
      <c r="D150" s="58"/>
      <c r="E150" s="46"/>
      <c r="F150" s="180"/>
      <c r="G150" s="57"/>
      <c r="H150" s="46"/>
      <c r="I150" s="46"/>
      <c r="J150" s="180"/>
      <c r="K150" s="194"/>
      <c r="L150" s="20"/>
      <c r="M150" s="20"/>
      <c r="N150" s="180"/>
    </row>
    <row r="151" spans="1:16" s="21" customFormat="1" ht="18.5" x14ac:dyDescent="0.45">
      <c r="A151" s="72">
        <f>IF(F151&lt;&gt;"",(LARGE(A$7:A150,1)+1),"")</f>
        <v>54</v>
      </c>
      <c r="B151" s="141" t="s">
        <v>174</v>
      </c>
      <c r="C151" s="135">
        <v>1</v>
      </c>
      <c r="D151" s="49" t="s">
        <v>35</v>
      </c>
      <c r="E151" s="46">
        <f t="shared" ref="E151" si="267">G151+H151+J151+I151</f>
        <v>0</v>
      </c>
      <c r="F151" s="180">
        <f>E151*C151</f>
        <v>0</v>
      </c>
      <c r="G151" s="57">
        <v>0</v>
      </c>
      <c r="H151" s="46">
        <v>0</v>
      </c>
      <c r="I151" s="46">
        <f>IF(D151=0," ",(G151)*(Details!$C$4+Details!$C$8))</f>
        <v>0</v>
      </c>
      <c r="J151" s="180">
        <f>IF(D151=0," ",(H151)*(Details!$C$6+Details!$C$8))</f>
        <v>0</v>
      </c>
      <c r="K151" s="57">
        <f t="shared" ref="K151" si="268">+G151*C151</f>
        <v>0</v>
      </c>
      <c r="L151" s="46">
        <f t="shared" ref="L151" si="269">+H151*C151</f>
        <v>0</v>
      </c>
      <c r="M151" s="46">
        <f t="shared" ref="M151" si="270">IF(D151=0," ",(I151*C151))</f>
        <v>0</v>
      </c>
      <c r="N151" s="180">
        <f t="shared" ref="N151" si="271">IF(D151=0," ",(J151*C151))</f>
        <v>0</v>
      </c>
    </row>
    <row r="152" spans="1:16" s="21" customFormat="1" ht="18.5" x14ac:dyDescent="0.45">
      <c r="A152" s="72" t="str">
        <f>IF(F152&lt;&gt;"",(LARGE(A$7:A151,1)+1),"")</f>
        <v/>
      </c>
      <c r="B152" s="141"/>
      <c r="C152" s="156"/>
      <c r="D152" s="49"/>
      <c r="E152" s="46"/>
      <c r="F152" s="180"/>
      <c r="G152" s="57"/>
      <c r="H152" s="46"/>
      <c r="I152" s="46"/>
      <c r="J152" s="180"/>
      <c r="K152" s="194"/>
      <c r="L152" s="20"/>
      <c r="M152" s="20"/>
      <c r="N152" s="180"/>
    </row>
    <row r="153" spans="1:16" s="21" customFormat="1" ht="18.5" x14ac:dyDescent="0.45">
      <c r="A153" s="72" t="str">
        <f>IF(F153&lt;&gt;"",(LARGE(A$7:A152,1)+1),"")</f>
        <v/>
      </c>
      <c r="B153" s="141"/>
      <c r="C153" s="156"/>
      <c r="D153" s="49"/>
      <c r="E153" s="46"/>
      <c r="F153" s="180"/>
      <c r="G153" s="57"/>
      <c r="H153" s="46"/>
      <c r="I153" s="46"/>
      <c r="J153" s="180" t="str">
        <f>IF(D153=0," ",(G153+H153)*(Details!$C$4+Details!$C$6))</f>
        <v xml:space="preserve"> </v>
      </c>
      <c r="K153" s="194"/>
      <c r="L153" s="20"/>
      <c r="M153" s="20"/>
      <c r="N153" s="180"/>
      <c r="P153" s="70" t="s">
        <v>106</v>
      </c>
    </row>
    <row r="154" spans="1:16" s="21" customFormat="1" ht="19" thickBot="1" x14ac:dyDescent="0.5">
      <c r="A154" s="72"/>
      <c r="B154" s="149"/>
      <c r="C154" s="135"/>
      <c r="D154" s="58"/>
      <c r="E154" s="60" t="s">
        <v>80</v>
      </c>
      <c r="F154" s="181">
        <f>SUM(F1:F153)</f>
        <v>0</v>
      </c>
      <c r="G154" s="57"/>
      <c r="H154" s="46"/>
      <c r="I154" s="46"/>
      <c r="J154" s="180" t="str">
        <f>IF(D154=0," ",(G154+H154)*(Details!$C$4+Details!$C$6))</f>
        <v xml:space="preserve"> </v>
      </c>
      <c r="K154" s="225">
        <f>SUM(K5:K153)</f>
        <v>0</v>
      </c>
      <c r="L154" s="226">
        <f>SUM(L5:L153)</f>
        <v>0</v>
      </c>
      <c r="M154" s="226">
        <f>SUM(M4:M153)</f>
        <v>0</v>
      </c>
      <c r="N154" s="181">
        <f>SUM(N4:N153)</f>
        <v>0</v>
      </c>
      <c r="O154" s="53"/>
      <c r="P154" s="70">
        <f>+F154-K154-L154-N154-M154</f>
        <v>0</v>
      </c>
    </row>
    <row r="155" spans="1:16" s="21" customFormat="1" ht="19.5" thickTop="1" thickBot="1" x14ac:dyDescent="0.5">
      <c r="A155" s="150" t="str">
        <f>IF(F155&lt;&gt;"",(LARGE(A$7:A154,1)+1),"")</f>
        <v/>
      </c>
      <c r="B155" s="151"/>
      <c r="C155" s="146"/>
      <c r="D155" s="61"/>
      <c r="E155" s="63"/>
      <c r="F155" s="65"/>
      <c r="G155" s="64"/>
      <c r="H155" s="63"/>
      <c r="I155" s="63"/>
      <c r="J155" s="65" t="str">
        <f>IF(D155=0," ",(G155+H155)*(Details!$C$4+Details!$C$6))</f>
        <v xml:space="preserve"> </v>
      </c>
      <c r="K155" s="207"/>
      <c r="L155" s="207"/>
      <c r="M155" s="207"/>
      <c r="N155" s="175"/>
      <c r="O155" s="53"/>
    </row>
  </sheetData>
  <mergeCells count="2">
    <mergeCell ref="G5:J5"/>
    <mergeCell ref="K5:N5"/>
  </mergeCells>
  <conditionalFormatting sqref="G8:G18 G20:G33 G35 G37 G39 G41:G43 G45 G49 G51 G53 G47 G55:G57 G59 G61 G63 G65 G67:G69 G71 G73 G75 G77:G79 G81 G83 G85 G87:G89 G91 G93 G95:G97 G99 G101 G103:G105 G107 G109 G111:G113 G115 G117 G119:G121 G123 G125 G127 G129:G131 G133 G135 G137 G139:G10650">
    <cfRule type="notContainsBlanks" dxfId="172" priority="90">
      <formula>LEN(TRIM(G8))&gt;0</formula>
    </cfRule>
  </conditionalFormatting>
  <conditionalFormatting sqref="H13:H18 H149:H151 H20:H23 H31:H33 H35 H37 H39 H41:H43 H45 H49 H51 H53 H47 H55:H57 H59 H61 H63 H65 H67:H69 H71 H73 H75 H77:H79 H81 H83 H85 H87:H89 H91 H93 H95:H97 H99 H101 H103:H105 H107 H109 H111:H113 H115 H117 H119:H121 H123 H125 H127 H129:H131 H133 H135 H137 H139:H146 H152:I10550">
    <cfRule type="notContainsBlanks" dxfId="171" priority="113">
      <formula>LEN(TRIM(H13))&gt;0</formula>
    </cfRule>
  </conditionalFormatting>
  <conditionalFormatting sqref="H25">
    <cfRule type="notContainsBlanks" dxfId="170" priority="111">
      <formula>LEN(TRIM(H25))&gt;0</formula>
    </cfRule>
  </conditionalFormatting>
  <conditionalFormatting sqref="H27">
    <cfRule type="notContainsBlanks" dxfId="169" priority="109">
      <formula>LEN(TRIM(H27))&gt;0</formula>
    </cfRule>
  </conditionalFormatting>
  <conditionalFormatting sqref="H29">
    <cfRule type="notContainsBlanks" dxfId="168" priority="107">
      <formula>LEN(TRIM(H29))&gt;0</formula>
    </cfRule>
  </conditionalFormatting>
  <conditionalFormatting sqref="H147">
    <cfRule type="notContainsBlanks" dxfId="167" priority="93">
      <formula>LEN(TRIM(H147))&gt;0</formula>
    </cfRule>
  </conditionalFormatting>
  <conditionalFormatting sqref="H8:I12 I18 H24:I24 H26:I26 H28:I28 H30:I30 I31 I33 I142 I144 I146 H148:I148 I150 I20:I22">
    <cfRule type="notContainsBlanks" dxfId="166" priority="120">
      <formula>LEN(TRIM(H8))&gt;0</formula>
    </cfRule>
  </conditionalFormatting>
  <conditionalFormatting sqref="I14 I16">
    <cfRule type="notContainsBlanks" dxfId="165" priority="115">
      <formula>LEN(TRIM(I14))&gt;0</formula>
    </cfRule>
  </conditionalFormatting>
  <conditionalFormatting sqref="P154">
    <cfRule type="cellIs" dxfId="164" priority="116" operator="equal">
      <formula>0</formula>
    </cfRule>
    <cfRule type="cellIs" dxfId="163" priority="117" operator="notBetween">
      <formula>-0.01</formula>
      <formula>0.01</formula>
    </cfRule>
  </conditionalFormatting>
  <conditionalFormatting sqref="G19">
    <cfRule type="notContainsBlanks" dxfId="162" priority="87">
      <formula>LEN(TRIM(G19))&gt;0</formula>
    </cfRule>
  </conditionalFormatting>
  <conditionalFormatting sqref="H19">
    <cfRule type="notContainsBlanks" dxfId="161" priority="88">
      <formula>LEN(TRIM(H19))&gt;0</formula>
    </cfRule>
  </conditionalFormatting>
  <conditionalFormatting sqref="G34">
    <cfRule type="notContainsBlanks" dxfId="160" priority="85">
      <formula>LEN(TRIM(G34))&gt;0</formula>
    </cfRule>
  </conditionalFormatting>
  <conditionalFormatting sqref="H34">
    <cfRule type="notContainsBlanks" dxfId="159" priority="86">
      <formula>LEN(TRIM(H34))&gt;0</formula>
    </cfRule>
  </conditionalFormatting>
  <conditionalFormatting sqref="G36">
    <cfRule type="notContainsBlanks" dxfId="158" priority="83">
      <formula>LEN(TRIM(G36))&gt;0</formula>
    </cfRule>
  </conditionalFormatting>
  <conditionalFormatting sqref="H36">
    <cfRule type="notContainsBlanks" dxfId="157" priority="84">
      <formula>LEN(TRIM(H36))&gt;0</formula>
    </cfRule>
  </conditionalFormatting>
  <conditionalFormatting sqref="G38">
    <cfRule type="notContainsBlanks" dxfId="156" priority="81">
      <formula>LEN(TRIM(G38))&gt;0</formula>
    </cfRule>
  </conditionalFormatting>
  <conditionalFormatting sqref="H38">
    <cfRule type="notContainsBlanks" dxfId="155" priority="82">
      <formula>LEN(TRIM(H38))&gt;0</formula>
    </cfRule>
  </conditionalFormatting>
  <conditionalFormatting sqref="G40">
    <cfRule type="notContainsBlanks" dxfId="154" priority="79">
      <formula>LEN(TRIM(G40))&gt;0</formula>
    </cfRule>
  </conditionalFormatting>
  <conditionalFormatting sqref="H40">
    <cfRule type="notContainsBlanks" dxfId="153" priority="80">
      <formula>LEN(TRIM(H40))&gt;0</formula>
    </cfRule>
  </conditionalFormatting>
  <conditionalFormatting sqref="G44">
    <cfRule type="notContainsBlanks" dxfId="152" priority="77">
      <formula>LEN(TRIM(G44))&gt;0</formula>
    </cfRule>
  </conditionalFormatting>
  <conditionalFormatting sqref="H44">
    <cfRule type="notContainsBlanks" dxfId="151" priority="78">
      <formula>LEN(TRIM(H44))&gt;0</formula>
    </cfRule>
  </conditionalFormatting>
  <conditionalFormatting sqref="G48">
    <cfRule type="notContainsBlanks" dxfId="150" priority="75">
      <formula>LEN(TRIM(G48))&gt;0</formula>
    </cfRule>
  </conditionalFormatting>
  <conditionalFormatting sqref="H48">
    <cfRule type="notContainsBlanks" dxfId="149" priority="76">
      <formula>LEN(TRIM(H48))&gt;0</formula>
    </cfRule>
  </conditionalFormatting>
  <conditionalFormatting sqref="G50">
    <cfRule type="notContainsBlanks" dxfId="148" priority="73">
      <formula>LEN(TRIM(G50))&gt;0</formula>
    </cfRule>
  </conditionalFormatting>
  <conditionalFormatting sqref="H50">
    <cfRule type="notContainsBlanks" dxfId="147" priority="74">
      <formula>LEN(TRIM(H50))&gt;0</formula>
    </cfRule>
  </conditionalFormatting>
  <conditionalFormatting sqref="G52">
    <cfRule type="notContainsBlanks" dxfId="146" priority="71">
      <formula>LEN(TRIM(G52))&gt;0</formula>
    </cfRule>
  </conditionalFormatting>
  <conditionalFormatting sqref="H52">
    <cfRule type="notContainsBlanks" dxfId="145" priority="72">
      <formula>LEN(TRIM(H52))&gt;0</formula>
    </cfRule>
  </conditionalFormatting>
  <conditionalFormatting sqref="G54">
    <cfRule type="notContainsBlanks" dxfId="144" priority="69">
      <formula>LEN(TRIM(G54))&gt;0</formula>
    </cfRule>
  </conditionalFormatting>
  <conditionalFormatting sqref="H54">
    <cfRule type="notContainsBlanks" dxfId="143" priority="70">
      <formula>LEN(TRIM(H54))&gt;0</formula>
    </cfRule>
  </conditionalFormatting>
  <conditionalFormatting sqref="G46">
    <cfRule type="notContainsBlanks" dxfId="142" priority="67">
      <formula>LEN(TRIM(G46))&gt;0</formula>
    </cfRule>
  </conditionalFormatting>
  <conditionalFormatting sqref="H46">
    <cfRule type="notContainsBlanks" dxfId="141" priority="68">
      <formula>LEN(TRIM(H46))&gt;0</formula>
    </cfRule>
  </conditionalFormatting>
  <conditionalFormatting sqref="G58">
    <cfRule type="notContainsBlanks" dxfId="140" priority="65">
      <formula>LEN(TRIM(G58))&gt;0</formula>
    </cfRule>
  </conditionalFormatting>
  <conditionalFormatting sqref="H58">
    <cfRule type="notContainsBlanks" dxfId="139" priority="66">
      <formula>LEN(TRIM(H58))&gt;0</formula>
    </cfRule>
  </conditionalFormatting>
  <conditionalFormatting sqref="G60">
    <cfRule type="notContainsBlanks" dxfId="138" priority="63">
      <formula>LEN(TRIM(G60))&gt;0</formula>
    </cfRule>
  </conditionalFormatting>
  <conditionalFormatting sqref="H60">
    <cfRule type="notContainsBlanks" dxfId="137" priority="64">
      <formula>LEN(TRIM(H60))&gt;0</formula>
    </cfRule>
  </conditionalFormatting>
  <conditionalFormatting sqref="G62">
    <cfRule type="notContainsBlanks" dxfId="136" priority="61">
      <formula>LEN(TRIM(G62))&gt;0</formula>
    </cfRule>
  </conditionalFormatting>
  <conditionalFormatting sqref="H62">
    <cfRule type="notContainsBlanks" dxfId="135" priority="62">
      <formula>LEN(TRIM(H62))&gt;0</formula>
    </cfRule>
  </conditionalFormatting>
  <conditionalFormatting sqref="G64">
    <cfRule type="notContainsBlanks" dxfId="134" priority="59">
      <formula>LEN(TRIM(G64))&gt;0</formula>
    </cfRule>
  </conditionalFormatting>
  <conditionalFormatting sqref="H64">
    <cfRule type="notContainsBlanks" dxfId="133" priority="60">
      <formula>LEN(TRIM(H64))&gt;0</formula>
    </cfRule>
  </conditionalFormatting>
  <conditionalFormatting sqref="G66">
    <cfRule type="notContainsBlanks" dxfId="132" priority="57">
      <formula>LEN(TRIM(G66))&gt;0</formula>
    </cfRule>
  </conditionalFormatting>
  <conditionalFormatting sqref="H66">
    <cfRule type="notContainsBlanks" dxfId="131" priority="58">
      <formula>LEN(TRIM(H66))&gt;0</formula>
    </cfRule>
  </conditionalFormatting>
  <conditionalFormatting sqref="G70">
    <cfRule type="notContainsBlanks" dxfId="130" priority="55">
      <formula>LEN(TRIM(G70))&gt;0</formula>
    </cfRule>
  </conditionalFormatting>
  <conditionalFormatting sqref="H70">
    <cfRule type="notContainsBlanks" dxfId="129" priority="56">
      <formula>LEN(TRIM(H70))&gt;0</formula>
    </cfRule>
  </conditionalFormatting>
  <conditionalFormatting sqref="G72">
    <cfRule type="notContainsBlanks" dxfId="128" priority="53">
      <formula>LEN(TRIM(G72))&gt;0</formula>
    </cfRule>
  </conditionalFormatting>
  <conditionalFormatting sqref="H72">
    <cfRule type="notContainsBlanks" dxfId="127" priority="54">
      <formula>LEN(TRIM(H72))&gt;0</formula>
    </cfRule>
  </conditionalFormatting>
  <conditionalFormatting sqref="G74">
    <cfRule type="notContainsBlanks" dxfId="126" priority="51">
      <formula>LEN(TRIM(G74))&gt;0</formula>
    </cfRule>
  </conditionalFormatting>
  <conditionalFormatting sqref="H74">
    <cfRule type="notContainsBlanks" dxfId="125" priority="52">
      <formula>LEN(TRIM(H74))&gt;0</formula>
    </cfRule>
  </conditionalFormatting>
  <conditionalFormatting sqref="G76">
    <cfRule type="notContainsBlanks" dxfId="124" priority="49">
      <formula>LEN(TRIM(G76))&gt;0</formula>
    </cfRule>
  </conditionalFormatting>
  <conditionalFormatting sqref="H76">
    <cfRule type="notContainsBlanks" dxfId="123" priority="50">
      <formula>LEN(TRIM(H76))&gt;0</formula>
    </cfRule>
  </conditionalFormatting>
  <conditionalFormatting sqref="G80">
    <cfRule type="notContainsBlanks" dxfId="122" priority="47">
      <formula>LEN(TRIM(G80))&gt;0</formula>
    </cfRule>
  </conditionalFormatting>
  <conditionalFormatting sqref="H80">
    <cfRule type="notContainsBlanks" dxfId="121" priority="48">
      <formula>LEN(TRIM(H80))&gt;0</formula>
    </cfRule>
  </conditionalFormatting>
  <conditionalFormatting sqref="G82">
    <cfRule type="notContainsBlanks" dxfId="120" priority="45">
      <formula>LEN(TRIM(G82))&gt;0</formula>
    </cfRule>
  </conditionalFormatting>
  <conditionalFormatting sqref="H82">
    <cfRule type="notContainsBlanks" dxfId="119" priority="46">
      <formula>LEN(TRIM(H82))&gt;0</formula>
    </cfRule>
  </conditionalFormatting>
  <conditionalFormatting sqref="G84">
    <cfRule type="notContainsBlanks" dxfId="118" priority="43">
      <formula>LEN(TRIM(G84))&gt;0</formula>
    </cfRule>
  </conditionalFormatting>
  <conditionalFormatting sqref="H84">
    <cfRule type="notContainsBlanks" dxfId="117" priority="44">
      <formula>LEN(TRIM(H84))&gt;0</formula>
    </cfRule>
  </conditionalFormatting>
  <conditionalFormatting sqref="G86">
    <cfRule type="notContainsBlanks" dxfId="116" priority="41">
      <formula>LEN(TRIM(G86))&gt;0</formula>
    </cfRule>
  </conditionalFormatting>
  <conditionalFormatting sqref="H86">
    <cfRule type="notContainsBlanks" dxfId="115" priority="42">
      <formula>LEN(TRIM(H86))&gt;0</formula>
    </cfRule>
  </conditionalFormatting>
  <conditionalFormatting sqref="G90">
    <cfRule type="notContainsBlanks" dxfId="114" priority="39">
      <formula>LEN(TRIM(G90))&gt;0</formula>
    </cfRule>
  </conditionalFormatting>
  <conditionalFormatting sqref="H90">
    <cfRule type="notContainsBlanks" dxfId="113" priority="40">
      <formula>LEN(TRIM(H90))&gt;0</formula>
    </cfRule>
  </conditionalFormatting>
  <conditionalFormatting sqref="G92">
    <cfRule type="notContainsBlanks" dxfId="112" priority="37">
      <formula>LEN(TRIM(G92))&gt;0</formula>
    </cfRule>
  </conditionalFormatting>
  <conditionalFormatting sqref="H92">
    <cfRule type="notContainsBlanks" dxfId="111" priority="38">
      <formula>LEN(TRIM(H92))&gt;0</formula>
    </cfRule>
  </conditionalFormatting>
  <conditionalFormatting sqref="G94">
    <cfRule type="notContainsBlanks" dxfId="110" priority="35">
      <formula>LEN(TRIM(G94))&gt;0</formula>
    </cfRule>
  </conditionalFormatting>
  <conditionalFormatting sqref="H94">
    <cfRule type="notContainsBlanks" dxfId="109" priority="36">
      <formula>LEN(TRIM(H94))&gt;0</formula>
    </cfRule>
  </conditionalFormatting>
  <conditionalFormatting sqref="G98">
    <cfRule type="notContainsBlanks" dxfId="108" priority="33">
      <formula>LEN(TRIM(G98))&gt;0</formula>
    </cfRule>
  </conditionalFormatting>
  <conditionalFormatting sqref="H98">
    <cfRule type="notContainsBlanks" dxfId="107" priority="34">
      <formula>LEN(TRIM(H98))&gt;0</formula>
    </cfRule>
  </conditionalFormatting>
  <conditionalFormatting sqref="G100">
    <cfRule type="notContainsBlanks" dxfId="106" priority="31">
      <formula>LEN(TRIM(G100))&gt;0</formula>
    </cfRule>
  </conditionalFormatting>
  <conditionalFormatting sqref="H100">
    <cfRule type="notContainsBlanks" dxfId="105" priority="32">
      <formula>LEN(TRIM(H100))&gt;0</formula>
    </cfRule>
  </conditionalFormatting>
  <conditionalFormatting sqref="G102">
    <cfRule type="notContainsBlanks" dxfId="104" priority="29">
      <formula>LEN(TRIM(G102))&gt;0</formula>
    </cfRule>
  </conditionalFormatting>
  <conditionalFormatting sqref="H102">
    <cfRule type="notContainsBlanks" dxfId="103" priority="30">
      <formula>LEN(TRIM(H102))&gt;0</formula>
    </cfRule>
  </conditionalFormatting>
  <conditionalFormatting sqref="G106">
    <cfRule type="notContainsBlanks" dxfId="102" priority="27">
      <formula>LEN(TRIM(G106))&gt;0</formula>
    </cfRule>
  </conditionalFormatting>
  <conditionalFormatting sqref="H106">
    <cfRule type="notContainsBlanks" dxfId="101" priority="28">
      <formula>LEN(TRIM(H106))&gt;0</formula>
    </cfRule>
  </conditionalFormatting>
  <conditionalFormatting sqref="G108">
    <cfRule type="notContainsBlanks" dxfId="100" priority="25">
      <formula>LEN(TRIM(G108))&gt;0</formula>
    </cfRule>
  </conditionalFormatting>
  <conditionalFormatting sqref="H108">
    <cfRule type="notContainsBlanks" dxfId="99" priority="26">
      <formula>LEN(TRIM(H108))&gt;0</formula>
    </cfRule>
  </conditionalFormatting>
  <conditionalFormatting sqref="G110">
    <cfRule type="notContainsBlanks" dxfId="98" priority="23">
      <formula>LEN(TRIM(G110))&gt;0</formula>
    </cfRule>
  </conditionalFormatting>
  <conditionalFormatting sqref="H110">
    <cfRule type="notContainsBlanks" dxfId="97" priority="24">
      <formula>LEN(TRIM(H110))&gt;0</formula>
    </cfRule>
  </conditionalFormatting>
  <conditionalFormatting sqref="G114">
    <cfRule type="notContainsBlanks" dxfId="96" priority="21">
      <formula>LEN(TRIM(G114))&gt;0</formula>
    </cfRule>
  </conditionalFormatting>
  <conditionalFormatting sqref="H114">
    <cfRule type="notContainsBlanks" dxfId="95" priority="22">
      <formula>LEN(TRIM(H114))&gt;0</formula>
    </cfRule>
  </conditionalFormatting>
  <conditionalFormatting sqref="G116">
    <cfRule type="notContainsBlanks" dxfId="94" priority="19">
      <formula>LEN(TRIM(G116))&gt;0</formula>
    </cfRule>
  </conditionalFormatting>
  <conditionalFormatting sqref="H116">
    <cfRule type="notContainsBlanks" dxfId="93" priority="20">
      <formula>LEN(TRIM(H116))&gt;0</formula>
    </cfRule>
  </conditionalFormatting>
  <conditionalFormatting sqref="G118">
    <cfRule type="notContainsBlanks" dxfId="92" priority="17">
      <formula>LEN(TRIM(G118))&gt;0</formula>
    </cfRule>
  </conditionalFormatting>
  <conditionalFormatting sqref="H118">
    <cfRule type="notContainsBlanks" dxfId="91" priority="18">
      <formula>LEN(TRIM(H118))&gt;0</formula>
    </cfRule>
  </conditionalFormatting>
  <conditionalFormatting sqref="G122">
    <cfRule type="notContainsBlanks" dxfId="90" priority="15">
      <formula>LEN(TRIM(G122))&gt;0</formula>
    </cfRule>
  </conditionalFormatting>
  <conditionalFormatting sqref="H122">
    <cfRule type="notContainsBlanks" dxfId="89" priority="16">
      <formula>LEN(TRIM(H122))&gt;0</formula>
    </cfRule>
  </conditionalFormatting>
  <conditionalFormatting sqref="G124">
    <cfRule type="notContainsBlanks" dxfId="88" priority="13">
      <formula>LEN(TRIM(G124))&gt;0</formula>
    </cfRule>
  </conditionalFormatting>
  <conditionalFormatting sqref="H124">
    <cfRule type="notContainsBlanks" dxfId="87" priority="14">
      <formula>LEN(TRIM(H124))&gt;0</formula>
    </cfRule>
  </conditionalFormatting>
  <conditionalFormatting sqref="G126">
    <cfRule type="notContainsBlanks" dxfId="86" priority="11">
      <formula>LEN(TRIM(G126))&gt;0</formula>
    </cfRule>
  </conditionalFormatting>
  <conditionalFormatting sqref="H126">
    <cfRule type="notContainsBlanks" dxfId="85" priority="12">
      <formula>LEN(TRIM(H126))&gt;0</formula>
    </cfRule>
  </conditionalFormatting>
  <conditionalFormatting sqref="G128">
    <cfRule type="notContainsBlanks" dxfId="84" priority="9">
      <formula>LEN(TRIM(G128))&gt;0</formula>
    </cfRule>
  </conditionalFormatting>
  <conditionalFormatting sqref="H128">
    <cfRule type="notContainsBlanks" dxfId="83" priority="10">
      <formula>LEN(TRIM(H128))&gt;0</formula>
    </cfRule>
  </conditionalFormatting>
  <conditionalFormatting sqref="G132">
    <cfRule type="notContainsBlanks" dxfId="82" priority="7">
      <formula>LEN(TRIM(G132))&gt;0</formula>
    </cfRule>
  </conditionalFormatting>
  <conditionalFormatting sqref="H132">
    <cfRule type="notContainsBlanks" dxfId="81" priority="8">
      <formula>LEN(TRIM(H132))&gt;0</formula>
    </cfRule>
  </conditionalFormatting>
  <conditionalFormatting sqref="G134">
    <cfRule type="notContainsBlanks" dxfId="80" priority="5">
      <formula>LEN(TRIM(G134))&gt;0</formula>
    </cfRule>
  </conditionalFormatting>
  <conditionalFormatting sqref="H134">
    <cfRule type="notContainsBlanks" dxfId="79" priority="6">
      <formula>LEN(TRIM(H134))&gt;0</formula>
    </cfRule>
  </conditionalFormatting>
  <conditionalFormatting sqref="G136">
    <cfRule type="notContainsBlanks" dxfId="78" priority="3">
      <formula>LEN(TRIM(G136))&gt;0</formula>
    </cfRule>
  </conditionalFormatting>
  <conditionalFormatting sqref="H136">
    <cfRule type="notContainsBlanks" dxfId="77" priority="4">
      <formula>LEN(TRIM(H136))&gt;0</formula>
    </cfRule>
  </conditionalFormatting>
  <conditionalFormatting sqref="G138">
    <cfRule type="notContainsBlanks" dxfId="76" priority="1">
      <formula>LEN(TRIM(G138))&gt;0</formula>
    </cfRule>
  </conditionalFormatting>
  <conditionalFormatting sqref="H138">
    <cfRule type="notContainsBlanks" dxfId="75" priority="2">
      <formula>LEN(TRIM(H138))&gt;0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P48"/>
  <sheetViews>
    <sheetView topLeftCell="A13" zoomScale="71" zoomScaleNormal="71" workbookViewId="0">
      <selection activeCell="N46" sqref="N46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0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7"/>
      <c r="B1" s="23"/>
      <c r="C1" s="29"/>
      <c r="D1" s="24"/>
      <c r="E1" s="31"/>
      <c r="F1" s="32"/>
      <c r="G1" s="78"/>
      <c r="H1" s="78"/>
      <c r="I1" s="78"/>
      <c r="J1" s="24"/>
    </row>
    <row r="2" spans="1:14" x14ac:dyDescent="0.35">
      <c r="A2" s="15"/>
      <c r="B2" s="3" t="str">
        <f>+'Qual, Excl &amp; Assum'!B2</f>
        <v>PROJECT:EXTERNAL AND INTERNAL REFURBISHMENT OF EXISTING APARTMENTS</v>
      </c>
      <c r="F2" s="33"/>
      <c r="G2" s="70"/>
      <c r="H2" s="70"/>
      <c r="I2" s="70"/>
      <c r="J2" s="16"/>
    </row>
    <row r="3" spans="1:14" x14ac:dyDescent="0.35">
      <c r="A3" s="15"/>
      <c r="B3" s="51" t="str">
        <f>+'Qual, Excl &amp; Assum'!B3</f>
        <v>DATE: 29TH OCTOBER 2025</v>
      </c>
      <c r="F3" s="33"/>
      <c r="G3" s="70"/>
      <c r="H3" s="70"/>
      <c r="I3" s="70"/>
      <c r="J3" s="16"/>
    </row>
    <row r="4" spans="1:14" s="21" customFormat="1" ht="16" thickBot="1" x14ac:dyDescent="0.4">
      <c r="A4" s="15"/>
      <c r="B4" s="22"/>
      <c r="C4" s="30"/>
      <c r="E4" s="34"/>
      <c r="F4" s="35"/>
      <c r="G4" s="79"/>
      <c r="H4" s="79"/>
      <c r="I4" s="79"/>
      <c r="K4" s="20"/>
      <c r="L4" s="20"/>
      <c r="M4" s="20"/>
    </row>
    <row r="5" spans="1:14" s="21" customFormat="1" ht="38.25" customHeight="1" thickBot="1" x14ac:dyDescent="0.4">
      <c r="A5" s="186"/>
      <c r="B5" s="187" t="s">
        <v>21</v>
      </c>
      <c r="C5" s="188"/>
      <c r="D5" s="189"/>
      <c r="E5" s="190"/>
      <c r="F5" s="196"/>
      <c r="G5" s="344" t="s">
        <v>102</v>
      </c>
      <c r="H5" s="344"/>
      <c r="I5" s="344"/>
      <c r="J5" s="345"/>
      <c r="K5" s="343" t="s">
        <v>103</v>
      </c>
      <c r="L5" s="344"/>
      <c r="M5" s="344"/>
      <c r="N5" s="345"/>
    </row>
    <row r="6" spans="1:14" s="21" customFormat="1" ht="18.5" x14ac:dyDescent="0.45">
      <c r="A6" s="47"/>
      <c r="B6" s="36"/>
      <c r="C6" s="135"/>
      <c r="D6" s="36"/>
      <c r="E6" s="62"/>
      <c r="F6" s="178"/>
      <c r="G6" s="229"/>
      <c r="H6" s="229"/>
      <c r="I6" s="229"/>
      <c r="J6" s="183"/>
      <c r="K6" s="194"/>
      <c r="L6" s="20"/>
      <c r="M6" s="20"/>
      <c r="N6" s="25"/>
    </row>
    <row r="7" spans="1:14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4" s="21" customFormat="1" ht="18.5" x14ac:dyDescent="0.45">
      <c r="A8" s="47"/>
      <c r="B8" s="139"/>
      <c r="C8" s="138"/>
      <c r="D8" s="59"/>
      <c r="E8" s="60"/>
      <c r="F8" s="179"/>
      <c r="G8" s="57"/>
      <c r="H8" s="46"/>
      <c r="I8" s="46"/>
      <c r="J8" s="184"/>
      <c r="K8" s="194"/>
      <c r="L8" s="20"/>
      <c r="M8" s="20"/>
      <c r="N8" s="180" t="str">
        <f t="shared" ref="N8" si="0">IF(D8=0," ",(J8*C8))</f>
        <v xml:space="preserve"> </v>
      </c>
    </row>
    <row r="9" spans="1:14" s="21" customFormat="1" ht="18.5" x14ac:dyDescent="0.45">
      <c r="A9" s="47"/>
      <c r="B9" s="155" t="s">
        <v>24</v>
      </c>
      <c r="C9" s="135"/>
      <c r="D9" s="58"/>
      <c r="E9" s="46"/>
      <c r="F9" s="180"/>
      <c r="G9" s="57"/>
      <c r="H9" s="46"/>
      <c r="I9" s="46"/>
      <c r="J9" s="180"/>
      <c r="K9" s="194"/>
      <c r="L9" s="20"/>
      <c r="M9" s="20"/>
      <c r="N9" s="180"/>
    </row>
    <row r="10" spans="1:14" s="21" customFormat="1" ht="18.5" x14ac:dyDescent="0.45">
      <c r="A10" s="47"/>
      <c r="B10" s="36"/>
      <c r="C10" s="135"/>
      <c r="D10" s="49"/>
      <c r="E10" s="46"/>
      <c r="F10" s="180"/>
      <c r="G10" s="57"/>
      <c r="H10" s="46"/>
      <c r="I10" s="46"/>
      <c r="J10" s="180"/>
      <c r="K10" s="194"/>
      <c r="L10" s="20"/>
      <c r="M10" s="20"/>
      <c r="N10" s="180"/>
    </row>
    <row r="11" spans="1:14" s="21" customFormat="1" ht="18.5" x14ac:dyDescent="0.45">
      <c r="A11" s="47">
        <v>1</v>
      </c>
      <c r="B11" s="36" t="s">
        <v>19</v>
      </c>
      <c r="C11" s="135">
        <v>26</v>
      </c>
      <c r="D11" s="49" t="s">
        <v>12</v>
      </c>
      <c r="E11" s="46">
        <f>G11+H11+J11+I11</f>
        <v>0</v>
      </c>
      <c r="F11" s="180">
        <f>E11*C11</f>
        <v>0</v>
      </c>
      <c r="G11" s="46">
        <v>0</v>
      </c>
      <c r="H11" s="46"/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</row>
    <row r="12" spans="1:14" s="21" customFormat="1" ht="18.5" x14ac:dyDescent="0.45">
      <c r="A12" s="47"/>
      <c r="B12" s="36"/>
      <c r="C12" s="135"/>
      <c r="D12" s="49"/>
      <c r="E12" s="46"/>
      <c r="F12" s="180"/>
      <c r="G12" s="57"/>
      <c r="H12" s="46"/>
      <c r="I12" s="46"/>
      <c r="J12" s="180"/>
      <c r="K12" s="194"/>
      <c r="L12" s="20"/>
      <c r="M12" s="20"/>
      <c r="N12" s="180"/>
    </row>
    <row r="13" spans="1:14" s="21" customFormat="1" ht="18.5" x14ac:dyDescent="0.45">
      <c r="A13" s="72">
        <f>IF(F13&lt;&gt;"",(LARGE(A$10:A12,1)+1),"")</f>
        <v>2</v>
      </c>
      <c r="B13" s="36" t="s">
        <v>169</v>
      </c>
      <c r="C13" s="135">
        <f>C11</f>
        <v>26</v>
      </c>
      <c r="D13" s="49" t="s">
        <v>12</v>
      </c>
      <c r="E13" s="46">
        <f>G13+H13+J13+I13</f>
        <v>0</v>
      </c>
      <c r="F13" s="180">
        <f>E13*C13</f>
        <v>0</v>
      </c>
      <c r="G13" s="46"/>
      <c r="H13" s="46"/>
      <c r="I13" s="46">
        <f>IF(D13=0," ",(G13)*(Details!$C$4+Details!$C$8))</f>
        <v>0</v>
      </c>
      <c r="J13" s="180">
        <f>IF(D13=0," ",(H13)*(Details!$C$6+Details!$C$8))</f>
        <v>0</v>
      </c>
      <c r="K13" s="57">
        <f>+G13*C13</f>
        <v>0</v>
      </c>
      <c r="L13" s="46">
        <f>+H13*C13</f>
        <v>0</v>
      </c>
      <c r="M13" s="46">
        <f>IF(D13=0," ",(I13*C13))</f>
        <v>0</v>
      </c>
      <c r="N13" s="180">
        <f>IF(D13=0," ",(J13*C13))</f>
        <v>0</v>
      </c>
    </row>
    <row r="14" spans="1:14" s="21" customFormat="1" ht="18.5" x14ac:dyDescent="0.45">
      <c r="A14" s="72" t="str">
        <f>IF(F14&lt;&gt;"",(LARGE(A$10:A13,1)+1),"")</f>
        <v/>
      </c>
      <c r="B14" s="36"/>
      <c r="C14" s="135"/>
      <c r="D14" s="49"/>
      <c r="E14" s="46"/>
      <c r="F14" s="180"/>
      <c r="G14" s="46"/>
      <c r="H14" s="46"/>
      <c r="I14" s="46"/>
      <c r="J14" s="180"/>
      <c r="K14" s="194"/>
      <c r="L14" s="20"/>
      <c r="M14" s="20"/>
      <c r="N14" s="180"/>
    </row>
    <row r="15" spans="1:14" s="21" customFormat="1" ht="18.5" x14ac:dyDescent="0.45">
      <c r="A15" s="72">
        <f>IF(F15&lt;&gt;"",(LARGE(A$10:A14,1)+1),"")</f>
        <v>3</v>
      </c>
      <c r="B15" s="36" t="s">
        <v>20</v>
      </c>
      <c r="C15" s="135">
        <f>C11</f>
        <v>26</v>
      </c>
      <c r="D15" s="49" t="s">
        <v>12</v>
      </c>
      <c r="E15" s="46">
        <f>G15+H15+J15+I15</f>
        <v>0</v>
      </c>
      <c r="F15" s="180">
        <f>E15*C15</f>
        <v>0</v>
      </c>
      <c r="G15" s="46">
        <v>0</v>
      </c>
      <c r="H15" s="46"/>
      <c r="I15" s="46">
        <f>IF(D15=0," ",(G15)*(Details!$C$4+Details!$C$8))</f>
        <v>0</v>
      </c>
      <c r="J15" s="180">
        <f>IF(D15=0," ",(H15)*(Details!$C$6+Details!$C$8))</f>
        <v>0</v>
      </c>
      <c r="K15" s="57">
        <f>+G15*C15</f>
        <v>0</v>
      </c>
      <c r="L15" s="46">
        <f>+H15*C15</f>
        <v>0</v>
      </c>
      <c r="M15" s="46">
        <f>IF(D15=0," ",(I15*C15))</f>
        <v>0</v>
      </c>
      <c r="N15" s="180">
        <f>IF(D15=0," ",(J15*C15))</f>
        <v>0</v>
      </c>
    </row>
    <row r="16" spans="1:14" s="21" customFormat="1" ht="18.5" x14ac:dyDescent="0.45">
      <c r="A16" s="72" t="str">
        <f>IF(F16&lt;&gt;"",(LARGE(A$10:A15,1)+1),"")</f>
        <v/>
      </c>
      <c r="B16" s="36"/>
      <c r="C16" s="135"/>
      <c r="D16" s="49"/>
      <c r="E16" s="46"/>
      <c r="F16" s="180"/>
      <c r="G16" s="57"/>
      <c r="H16" s="46"/>
      <c r="I16" s="46"/>
      <c r="J16" s="180"/>
      <c r="K16" s="194"/>
      <c r="L16" s="20"/>
      <c r="M16" s="20"/>
      <c r="N16" s="180"/>
    </row>
    <row r="17" spans="1:14" s="21" customFormat="1" ht="18.5" x14ac:dyDescent="0.45">
      <c r="A17" s="72">
        <f>IF(F17&lt;&gt;"",(LARGE(A$10:A16,1)+1),"")</f>
        <v>4</v>
      </c>
      <c r="B17" s="36" t="s">
        <v>170</v>
      </c>
      <c r="C17" s="135">
        <f>C15</f>
        <v>26</v>
      </c>
      <c r="D17" s="49" t="s">
        <v>12</v>
      </c>
      <c r="E17" s="46">
        <f>G17+H17+J17+I17</f>
        <v>0</v>
      </c>
      <c r="F17" s="180">
        <f>E17*C17</f>
        <v>0</v>
      </c>
      <c r="G17" s="46"/>
      <c r="H17" s="46"/>
      <c r="I17" s="46">
        <f>IF(D17=0," ",(G17)*(Details!$C$4+Details!$C$8))</f>
        <v>0</v>
      </c>
      <c r="J17" s="180">
        <f>IF(D17=0," ",(H17)*(Details!$C$6+Details!$C$8))</f>
        <v>0</v>
      </c>
      <c r="K17" s="57">
        <f>+G17*C17</f>
        <v>0</v>
      </c>
      <c r="L17" s="46">
        <f>+H17*C17</f>
        <v>0</v>
      </c>
      <c r="M17" s="46">
        <f>IF(D17=0," ",(I17*C17))</f>
        <v>0</v>
      </c>
      <c r="N17" s="180">
        <f>IF(D17=0," ",(J17*C17))</f>
        <v>0</v>
      </c>
    </row>
    <row r="18" spans="1:14" s="21" customFormat="1" ht="18.5" x14ac:dyDescent="0.45">
      <c r="A18" s="72" t="str">
        <f>IF(F18&lt;&gt;"",(LARGE(A$10:A17,1)+1),"")</f>
        <v/>
      </c>
      <c r="B18" s="36"/>
      <c r="C18" s="135"/>
      <c r="D18" s="49"/>
      <c r="E18" s="46"/>
      <c r="F18" s="180"/>
      <c r="G18" s="46"/>
      <c r="H18" s="46"/>
      <c r="I18" s="46"/>
      <c r="J18" s="180"/>
      <c r="K18" s="194"/>
      <c r="L18" s="20"/>
      <c r="M18" s="20"/>
      <c r="N18" s="180"/>
    </row>
    <row r="19" spans="1:14" s="21" customFormat="1" ht="18.5" x14ac:dyDescent="0.45">
      <c r="A19" s="72">
        <f>IF(F19&lt;&gt;"",(LARGE(A$10:A18,1)+1),"")</f>
        <v>5</v>
      </c>
      <c r="B19" s="36" t="s">
        <v>17</v>
      </c>
      <c r="C19" s="135">
        <f>C15</f>
        <v>26</v>
      </c>
      <c r="D19" s="49" t="s">
        <v>12</v>
      </c>
      <c r="E19" s="46">
        <f>G19+H19+J19+I19</f>
        <v>0</v>
      </c>
      <c r="F19" s="180">
        <f>E19*C19</f>
        <v>0</v>
      </c>
      <c r="G19" s="46">
        <v>0</v>
      </c>
      <c r="H19" s="46"/>
      <c r="I19" s="46">
        <f>IF(D19=0," ",(G19)*(Details!$C$4+Details!$C$8))</f>
        <v>0</v>
      </c>
      <c r="J19" s="180">
        <f>IF(D19=0," ",(H19)*(Details!$C$6+Details!$C$8))</f>
        <v>0</v>
      </c>
      <c r="K19" s="57">
        <f>+G19*C19</f>
        <v>0</v>
      </c>
      <c r="L19" s="46">
        <f>+H19*C19</f>
        <v>0</v>
      </c>
      <c r="M19" s="46">
        <f>IF(D19=0," ",(I19*C19))</f>
        <v>0</v>
      </c>
      <c r="N19" s="180">
        <f>IF(D19=0," ",(J19*C19))</f>
        <v>0</v>
      </c>
    </row>
    <row r="20" spans="1:14" s="21" customFormat="1" ht="18.5" x14ac:dyDescent="0.45">
      <c r="A20" s="72" t="str">
        <f>IF(F20&lt;&gt;"",(LARGE(A$10:A19,1)+1),"")</f>
        <v/>
      </c>
      <c r="B20" s="36"/>
      <c r="C20" s="135"/>
      <c r="D20" s="49"/>
      <c r="E20" s="46"/>
      <c r="F20" s="180"/>
      <c r="G20" s="57"/>
      <c r="H20" s="46"/>
      <c r="I20" s="46"/>
      <c r="J20" s="180"/>
      <c r="K20" s="194"/>
      <c r="L20" s="20"/>
      <c r="M20" s="20"/>
      <c r="N20" s="180"/>
    </row>
    <row r="21" spans="1:14" s="21" customFormat="1" ht="18.5" x14ac:dyDescent="0.45">
      <c r="A21" s="72" t="str">
        <f>IF(F21&lt;&gt;"",(LARGE(A$10:A20,1)+1),"")</f>
        <v/>
      </c>
      <c r="B21" s="153" t="s">
        <v>111</v>
      </c>
      <c r="C21" s="135"/>
      <c r="D21" s="49"/>
      <c r="E21" s="46"/>
      <c r="F21" s="180"/>
      <c r="G21" s="57"/>
      <c r="H21" s="46"/>
      <c r="I21" s="46" t="str">
        <f>IF(D21=0," ",(G21)*(Details!$C$4+Details!$C$8))</f>
        <v xml:space="preserve"> </v>
      </c>
      <c r="J21" s="180" t="str">
        <f>IF(D21=0," ",(H21)*(Details!$C$6+Details!$C$8))</f>
        <v xml:space="preserve"> </v>
      </c>
      <c r="K21" s="57"/>
      <c r="L21" s="46"/>
      <c r="M21" s="46" t="str">
        <f t="shared" ref="M21" si="1">IF(D21=0," ",(I21*C21))</f>
        <v xml:space="preserve"> </v>
      </c>
      <c r="N21" s="180" t="str">
        <f t="shared" ref="N21:N22" si="2">IF(D21=0," ",(J21*C21))</f>
        <v xml:space="preserve"> </v>
      </c>
    </row>
    <row r="22" spans="1:14" s="21" customFormat="1" ht="18.5" x14ac:dyDescent="0.45">
      <c r="A22" s="72" t="str">
        <f>IF(F22&lt;&gt;"",(LARGE(A$10:A21,1)+1),"")</f>
        <v/>
      </c>
      <c r="B22" s="141"/>
      <c r="C22" s="142"/>
      <c r="D22" s="49"/>
      <c r="E22" s="46"/>
      <c r="F22" s="180"/>
      <c r="G22" s="57"/>
      <c r="H22" s="46"/>
      <c r="I22" s="46"/>
      <c r="J22" s="180"/>
      <c r="K22" s="194"/>
      <c r="L22" s="20"/>
      <c r="M22" s="20"/>
      <c r="N22" s="180" t="str">
        <f t="shared" si="2"/>
        <v xml:space="preserve"> </v>
      </c>
    </row>
    <row r="23" spans="1:14" s="21" customFormat="1" ht="18.5" x14ac:dyDescent="0.45">
      <c r="A23" s="72">
        <f>IF(F23&lt;&gt;"",(LARGE(A$10:A22,1)+1),"")</f>
        <v>6</v>
      </c>
      <c r="B23" s="36" t="s">
        <v>185</v>
      </c>
      <c r="C23" s="135">
        <v>258</v>
      </c>
      <c r="D23" s="49" t="s">
        <v>13</v>
      </c>
      <c r="E23" s="46">
        <f>G23+H23+J23+I23</f>
        <v>0</v>
      </c>
      <c r="F23" s="180">
        <f>E23*C23</f>
        <v>0</v>
      </c>
      <c r="G23" s="46">
        <v>0</v>
      </c>
      <c r="H23" s="46"/>
      <c r="I23" s="46">
        <f>IF(D23=0," ",(G23)*(Details!$C$4+Details!$C$8))</f>
        <v>0</v>
      </c>
      <c r="J23" s="180">
        <f>IF(D23=0," ",(H23)*(Details!$C$6+Details!$C$8))</f>
        <v>0</v>
      </c>
      <c r="K23" s="57">
        <f>+G23*C23</f>
        <v>0</v>
      </c>
      <c r="L23" s="46">
        <f>+H23*C23</f>
        <v>0</v>
      </c>
      <c r="M23" s="46">
        <f>IF(D23=0," ",(I23*C23))</f>
        <v>0</v>
      </c>
      <c r="N23" s="180">
        <f>IF(D23=0," ",(J23*C23))</f>
        <v>0</v>
      </c>
    </row>
    <row r="24" spans="1:14" s="21" customFormat="1" ht="18.5" x14ac:dyDescent="0.45">
      <c r="A24" s="72" t="str">
        <f>IF(F24&lt;&gt;"",(LARGE(A$10:A23,1)+1),"")</f>
        <v/>
      </c>
      <c r="B24" s="36"/>
      <c r="C24" s="142"/>
      <c r="D24" s="49"/>
      <c r="E24" s="46"/>
      <c r="F24" s="180"/>
      <c r="G24" s="46"/>
      <c r="H24" s="46"/>
      <c r="I24" s="46"/>
      <c r="J24" s="180"/>
      <c r="K24" s="194"/>
      <c r="L24" s="20"/>
      <c r="M24" s="20"/>
      <c r="N24" s="180"/>
    </row>
    <row r="25" spans="1:14" s="21" customFormat="1" ht="18.5" x14ac:dyDescent="0.45">
      <c r="A25" s="72" t="str">
        <f>IF(F25&lt;&gt;"",(LARGE(A$10:A24,1)+1),"")</f>
        <v/>
      </c>
      <c r="B25" s="153" t="s">
        <v>44</v>
      </c>
      <c r="C25" s="135"/>
      <c r="D25" s="49"/>
      <c r="E25" s="46"/>
      <c r="F25" s="180"/>
      <c r="G25" s="46"/>
      <c r="H25" s="46"/>
      <c r="I25" s="46" t="str">
        <f>IF(D25=0," ",(G25)*(Details!$C$4+Details!$C$8))</f>
        <v xml:space="preserve"> </v>
      </c>
      <c r="J25" s="180" t="str">
        <f>IF(D25=0," ",(H25)*(Details!$C$6+Details!$C$8))</f>
        <v xml:space="preserve"> </v>
      </c>
      <c r="K25" s="57"/>
      <c r="L25" s="46"/>
      <c r="M25" s="46" t="str">
        <f t="shared" ref="M25" si="3">IF(D25=0," ",(I25*C25))</f>
        <v xml:space="preserve"> </v>
      </c>
      <c r="N25" s="180" t="str">
        <f t="shared" ref="N25" si="4">IF(D25=0," ",(J25*C25))</f>
        <v xml:space="preserve"> </v>
      </c>
    </row>
    <row r="26" spans="1:14" s="21" customFormat="1" ht="18.5" x14ac:dyDescent="0.45">
      <c r="A26" s="72" t="str">
        <f>IF(F26&lt;&gt;"",(LARGE(A$10:A25,1)+1),"")</f>
        <v/>
      </c>
      <c r="B26" s="141"/>
      <c r="C26" s="142"/>
      <c r="D26" s="49"/>
      <c r="E26" s="46"/>
      <c r="F26" s="180"/>
      <c r="G26" s="46"/>
      <c r="H26" s="46"/>
      <c r="I26" s="46"/>
      <c r="J26" s="180"/>
      <c r="K26" s="194"/>
      <c r="L26" s="20"/>
      <c r="M26" s="20"/>
      <c r="N26" s="180"/>
    </row>
    <row r="27" spans="1:14" s="21" customFormat="1" ht="18.5" x14ac:dyDescent="0.45">
      <c r="A27" s="72">
        <f>IF(F27&lt;&gt;"",(LARGE(A$10:A26,1)+1),"")</f>
        <v>7</v>
      </c>
      <c r="B27" s="36" t="s">
        <v>186</v>
      </c>
      <c r="C27" s="135">
        <v>264</v>
      </c>
      <c r="D27" s="49" t="s">
        <v>13</v>
      </c>
      <c r="E27" s="46">
        <f>G27+H27+J27+I27</f>
        <v>0</v>
      </c>
      <c r="F27" s="180">
        <f>E27*C27</f>
        <v>0</v>
      </c>
      <c r="G27" s="46">
        <v>0</v>
      </c>
      <c r="H27" s="46"/>
      <c r="I27" s="46">
        <f>IF(D27=0," ",(G27)*(Details!$C$4+Details!$C$8))</f>
        <v>0</v>
      </c>
      <c r="J27" s="180">
        <f>IF(D27=0," ",(H27)*(Details!$C$6+Details!$C$8))</f>
        <v>0</v>
      </c>
      <c r="K27" s="57">
        <f>+G27*C27</f>
        <v>0</v>
      </c>
      <c r="L27" s="46">
        <f>+H27*C27</f>
        <v>0</v>
      </c>
      <c r="M27" s="46">
        <f>IF(D27=0," ",(I27*C27))</f>
        <v>0</v>
      </c>
      <c r="N27" s="180">
        <f>IF(D27=0," ",(J27*C27))</f>
        <v>0</v>
      </c>
    </row>
    <row r="28" spans="1:14" s="21" customFormat="1" ht="18.5" x14ac:dyDescent="0.45">
      <c r="A28" s="72"/>
      <c r="B28" s="140"/>
      <c r="C28" s="135"/>
      <c r="D28" s="49"/>
      <c r="E28" s="46"/>
      <c r="F28" s="180"/>
      <c r="G28" s="46"/>
      <c r="H28" s="46"/>
      <c r="I28" s="46"/>
      <c r="J28" s="180"/>
      <c r="K28" s="57"/>
      <c r="L28" s="46"/>
      <c r="M28" s="46"/>
      <c r="N28" s="180"/>
    </row>
    <row r="29" spans="1:14" s="21" customFormat="1" ht="18.5" x14ac:dyDescent="0.45">
      <c r="A29" s="72"/>
      <c r="B29" s="36" t="s">
        <v>187</v>
      </c>
      <c r="C29" s="135">
        <v>48</v>
      </c>
      <c r="D29" s="49" t="s">
        <v>13</v>
      </c>
      <c r="E29" s="46">
        <f>G29+H29+J29+I29</f>
        <v>0</v>
      </c>
      <c r="F29" s="180">
        <f>E29*C29</f>
        <v>0</v>
      </c>
      <c r="G29" s="46">
        <v>0</v>
      </c>
      <c r="H29" s="46"/>
      <c r="I29" s="46">
        <f>IF(D29=0," ",(G29)*(Details!$C$4+Details!$C$8))</f>
        <v>0</v>
      </c>
      <c r="J29" s="180">
        <f>IF(D29=0," ",(H29)*(Details!$C$6+Details!$C$8))</f>
        <v>0</v>
      </c>
      <c r="K29" s="57">
        <f>+G29*C29</f>
        <v>0</v>
      </c>
      <c r="L29" s="46">
        <f>+H29*C29</f>
        <v>0</v>
      </c>
      <c r="M29" s="46">
        <f>IF(D29=0," ",(I29*C29))</f>
        <v>0</v>
      </c>
      <c r="N29" s="180">
        <f>IF(D29=0," ",(J29*C29))</f>
        <v>0</v>
      </c>
    </row>
    <row r="30" spans="1:14" s="21" customFormat="1" ht="18.5" x14ac:dyDescent="0.45">
      <c r="A30" s="72" t="str">
        <f>IF(F30&lt;&gt;"",(LARGE(A$10:A27,1)+1),"")</f>
        <v/>
      </c>
      <c r="B30" s="140"/>
      <c r="C30" s="135"/>
      <c r="D30" s="49"/>
      <c r="E30" s="46"/>
      <c r="F30" s="180"/>
      <c r="G30" s="46"/>
      <c r="H30" s="46"/>
      <c r="I30" s="46"/>
      <c r="J30" s="180"/>
      <c r="K30" s="194"/>
      <c r="L30" s="20"/>
      <c r="M30" s="20"/>
      <c r="N30" s="180"/>
    </row>
    <row r="31" spans="1:14" s="21" customFormat="1" ht="18.5" x14ac:dyDescent="0.45">
      <c r="A31" s="72" t="str">
        <f>IF(F31&lt;&gt;"",(LARGE(A$10:A30,1)+1),"")</f>
        <v/>
      </c>
      <c r="B31" s="153" t="s">
        <v>109</v>
      </c>
      <c r="C31" s="135"/>
      <c r="D31" s="49"/>
      <c r="E31" s="46"/>
      <c r="F31" s="180"/>
      <c r="G31" s="46"/>
      <c r="H31" s="46"/>
      <c r="I31" s="46" t="str">
        <f>IF(D31=0," ",(G31)*(Details!$C$4+Details!$C$8))</f>
        <v xml:space="preserve"> </v>
      </c>
      <c r="J31" s="180" t="str">
        <f>IF(D31=0," ",(H31)*(Details!$C$6+Details!$C$8))</f>
        <v xml:space="preserve"> </v>
      </c>
      <c r="K31" s="57"/>
      <c r="L31" s="46"/>
      <c r="M31" s="46" t="str">
        <f t="shared" ref="M31" si="5">IF(D31=0," ",(I31*C31))</f>
        <v xml:space="preserve"> </v>
      </c>
      <c r="N31" s="180" t="str">
        <f t="shared" ref="N31" si="6">IF(D31=0," ",(J31*C31))</f>
        <v xml:space="preserve"> </v>
      </c>
    </row>
    <row r="32" spans="1:14" s="21" customFormat="1" ht="18.5" x14ac:dyDescent="0.45">
      <c r="A32" s="72" t="str">
        <f>IF(F32&lt;&gt;"",(LARGE(A$10:A31,1)+1),"")</f>
        <v/>
      </c>
      <c r="B32" s="141"/>
      <c r="C32" s="142"/>
      <c r="D32" s="49"/>
      <c r="E32" s="46"/>
      <c r="F32" s="180"/>
      <c r="G32" s="46"/>
      <c r="H32" s="46"/>
      <c r="I32" s="46"/>
      <c r="J32" s="180"/>
      <c r="K32" s="194"/>
      <c r="L32" s="20"/>
      <c r="M32" s="20"/>
      <c r="N32" s="180"/>
    </row>
    <row r="33" spans="1:16" s="21" customFormat="1" ht="18.5" x14ac:dyDescent="0.45">
      <c r="A33" s="72">
        <f>IF(F33&lt;&gt;"",(LARGE(A$10:A32,1)+1),"")</f>
        <v>8</v>
      </c>
      <c r="B33" s="140" t="s">
        <v>193</v>
      </c>
      <c r="C33" s="135">
        <v>54</v>
      </c>
      <c r="D33" s="49" t="s">
        <v>13</v>
      </c>
      <c r="E33" s="46">
        <f>G33+H33+J33+I33</f>
        <v>0</v>
      </c>
      <c r="F33" s="180">
        <f>E33*C33</f>
        <v>0</v>
      </c>
      <c r="G33" s="46">
        <v>0</v>
      </c>
      <c r="H33" s="46"/>
      <c r="I33" s="46">
        <f>IF(D33=0," ",(G33)*(Details!$C$4+Details!$C$8))</f>
        <v>0</v>
      </c>
      <c r="J33" s="180">
        <f>IF(D33=0," ",(H33)*(Details!$C$6+Details!$C$8))</f>
        <v>0</v>
      </c>
      <c r="K33" s="57">
        <f>+G33*C33</f>
        <v>0</v>
      </c>
      <c r="L33" s="46">
        <f>+H33*C33</f>
        <v>0</v>
      </c>
      <c r="M33" s="46">
        <f>IF(D33=0," ",(I33*C33))</f>
        <v>0</v>
      </c>
      <c r="N33" s="180">
        <f>IF(D33=0," ",(J33*C33))</f>
        <v>0</v>
      </c>
    </row>
    <row r="34" spans="1:16" s="21" customFormat="1" ht="18.5" x14ac:dyDescent="0.45">
      <c r="A34" s="72" t="str">
        <f>IF(F34&lt;&gt;"",(LARGE(A$10:A33,1)+1),"")</f>
        <v/>
      </c>
      <c r="B34" s="140"/>
      <c r="C34" s="135"/>
      <c r="D34" s="49"/>
      <c r="E34" s="46"/>
      <c r="F34" s="180"/>
      <c r="G34" s="57"/>
      <c r="H34" s="46"/>
      <c r="I34" s="46"/>
      <c r="J34" s="180"/>
      <c r="K34" s="194"/>
      <c r="L34" s="20"/>
      <c r="M34" s="20"/>
      <c r="N34" s="180"/>
    </row>
    <row r="35" spans="1:16" s="21" customFormat="1" ht="18.5" x14ac:dyDescent="0.45">
      <c r="A35" s="72" t="str">
        <f>IF(F35&lt;&gt;"",(LARGE(A$10:A34,1)+1),"")</f>
        <v/>
      </c>
      <c r="B35" s="153" t="s">
        <v>45</v>
      </c>
      <c r="C35" s="135"/>
      <c r="D35" s="49"/>
      <c r="E35" s="46"/>
      <c r="F35" s="180"/>
      <c r="G35" s="57"/>
      <c r="H35" s="46"/>
      <c r="I35" s="46"/>
      <c r="J35" s="180"/>
      <c r="K35" s="194"/>
      <c r="L35" s="20"/>
      <c r="M35" s="20"/>
      <c r="N35" s="180"/>
    </row>
    <row r="36" spans="1:16" s="21" customFormat="1" ht="18.5" x14ac:dyDescent="0.45">
      <c r="A36" s="72" t="str">
        <f>IF(F36&lt;&gt;"",(LARGE(A$10:A35,1)+1),"")</f>
        <v/>
      </c>
      <c r="B36" s="36"/>
      <c r="C36" s="142"/>
      <c r="D36" s="49"/>
      <c r="E36" s="46"/>
      <c r="F36" s="180"/>
      <c r="G36" s="57"/>
      <c r="H36" s="46"/>
      <c r="I36" s="46"/>
      <c r="J36" s="180"/>
      <c r="K36" s="194"/>
      <c r="L36" s="20"/>
      <c r="M36" s="20"/>
      <c r="N36" s="180"/>
    </row>
    <row r="37" spans="1:16" s="21" customFormat="1" ht="18.5" x14ac:dyDescent="0.45">
      <c r="A37" s="72">
        <f>IF(F37&lt;&gt;"",(LARGE(A$10:A36,1)+1),"")</f>
        <v>9</v>
      </c>
      <c r="B37" s="140" t="s">
        <v>188</v>
      </c>
      <c r="C37" s="135">
        <v>33</v>
      </c>
      <c r="D37" s="49" t="s">
        <v>13</v>
      </c>
      <c r="E37" s="46">
        <f>G37+H37+J37+I37</f>
        <v>0</v>
      </c>
      <c r="F37" s="180">
        <f>E37*C37</f>
        <v>0</v>
      </c>
      <c r="G37" s="46">
        <v>0</v>
      </c>
      <c r="H37" s="46">
        <v>0</v>
      </c>
      <c r="I37" s="46">
        <f>IF(D37=0," ",(G37)*(Details!$C$4+Details!$C$8))</f>
        <v>0</v>
      </c>
      <c r="J37" s="180">
        <f>IF(D37=0," ",(H37)*(Details!$C$6+Details!$C$8))</f>
        <v>0</v>
      </c>
      <c r="K37" s="57">
        <f>+G37*C37</f>
        <v>0</v>
      </c>
      <c r="L37" s="46">
        <f>+H37*C37</f>
        <v>0</v>
      </c>
      <c r="M37" s="46">
        <f>IF(D37=0," ",(I37*C37))</f>
        <v>0</v>
      </c>
      <c r="N37" s="180">
        <f>IF(D37=0," ",(J37*C37))</f>
        <v>0</v>
      </c>
    </row>
    <row r="38" spans="1:16" s="21" customFormat="1" ht="18.5" x14ac:dyDescent="0.45">
      <c r="A38" s="72" t="str">
        <f>IF(F38&lt;&gt;"",(LARGE(A$10:A37,1)+1),"")</f>
        <v/>
      </c>
      <c r="B38" s="140"/>
      <c r="C38" s="142"/>
      <c r="D38" s="49"/>
      <c r="E38" s="46"/>
      <c r="F38" s="180"/>
      <c r="G38" s="57"/>
      <c r="H38" s="46"/>
      <c r="I38" s="46"/>
      <c r="J38" s="180"/>
      <c r="K38" s="194"/>
      <c r="L38" s="20"/>
      <c r="M38" s="20"/>
      <c r="N38" s="180"/>
    </row>
    <row r="39" spans="1:16" s="21" customFormat="1" ht="18.5" x14ac:dyDescent="0.45">
      <c r="A39" s="72">
        <f>IF(F39&lt;&gt;"",(LARGE(A$10:A38,1)+1),"")</f>
        <v>10</v>
      </c>
      <c r="B39" s="140" t="s">
        <v>189</v>
      </c>
      <c r="C39" s="135">
        <v>30</v>
      </c>
      <c r="D39" s="49" t="s">
        <v>13</v>
      </c>
      <c r="E39" s="46">
        <f>G39+H39+J39+I39</f>
        <v>0</v>
      </c>
      <c r="F39" s="180">
        <f>E39*C39</f>
        <v>0</v>
      </c>
      <c r="G39" s="46">
        <v>0</v>
      </c>
      <c r="H39" s="46">
        <v>0</v>
      </c>
      <c r="I39" s="46">
        <f>IF(D39=0," ",(G39)*(Details!$C$4+Details!$C$8))</f>
        <v>0</v>
      </c>
      <c r="J39" s="180">
        <f>IF(D39=0," ",(H39)*(Details!$C$6+Details!$C$8))</f>
        <v>0</v>
      </c>
      <c r="K39" s="57">
        <f>+G39*C39</f>
        <v>0</v>
      </c>
      <c r="L39" s="46">
        <f>+H39*C39</f>
        <v>0</v>
      </c>
      <c r="M39" s="46">
        <f>IF(D39=0," ",(I39*C39))</f>
        <v>0</v>
      </c>
      <c r="N39" s="180">
        <f>IF(D39=0," ",(J39*C39))</f>
        <v>0</v>
      </c>
    </row>
    <row r="40" spans="1:16" s="21" customFormat="1" ht="18.5" x14ac:dyDescent="0.45">
      <c r="A40" s="72" t="str">
        <f>IF(F40&lt;&gt;"",(LARGE(A$10:A39,1)+1),"")</f>
        <v/>
      </c>
      <c r="B40" s="140"/>
      <c r="C40" s="135"/>
      <c r="D40" s="49"/>
      <c r="E40" s="46"/>
      <c r="F40" s="180"/>
      <c r="G40" s="57"/>
      <c r="H40" s="46"/>
      <c r="I40" s="46"/>
      <c r="J40" s="180"/>
      <c r="K40" s="57"/>
      <c r="L40" s="46"/>
      <c r="M40" s="46"/>
      <c r="N40" s="180"/>
    </row>
    <row r="41" spans="1:16" s="21" customFormat="1" ht="18.5" x14ac:dyDescent="0.45">
      <c r="A41" s="72">
        <f>IF(F41&lt;&gt;"",(LARGE(A$10:A40,1)+1),"")</f>
        <v>11</v>
      </c>
      <c r="B41" s="140" t="s">
        <v>190</v>
      </c>
      <c r="C41" s="135">
        <v>1</v>
      </c>
      <c r="D41" s="49" t="s">
        <v>13</v>
      </c>
      <c r="E41" s="46">
        <f>G41+H41+J41+I41</f>
        <v>0</v>
      </c>
      <c r="F41" s="180">
        <f>E41*C41</f>
        <v>0</v>
      </c>
      <c r="G41" s="46">
        <v>0</v>
      </c>
      <c r="H41" s="46">
        <v>0</v>
      </c>
      <c r="I41" s="46">
        <f>IF(D41=0," ",(G41)*(Details!$C$4+Details!$C$8))</f>
        <v>0</v>
      </c>
      <c r="J41" s="180">
        <f>IF(D41=0," ",(H41)*(Details!$C$6+Details!$C$8))</f>
        <v>0</v>
      </c>
      <c r="K41" s="57">
        <f>+G41*C41</f>
        <v>0</v>
      </c>
      <c r="L41" s="46">
        <f>+H41*C41</f>
        <v>0</v>
      </c>
      <c r="M41" s="46">
        <f>IF(D41=0," ",(I41*C41))</f>
        <v>0</v>
      </c>
      <c r="N41" s="180">
        <f>IF(D41=0," ",(J41*C41))</f>
        <v>0</v>
      </c>
    </row>
    <row r="42" spans="1:16" s="21" customFormat="1" ht="18.5" x14ac:dyDescent="0.45">
      <c r="A42" s="72" t="str">
        <f>IF(F42&lt;&gt;"",(LARGE(A$10:A41,1)+1),"")</f>
        <v/>
      </c>
      <c r="B42" s="140"/>
      <c r="C42" s="135"/>
      <c r="D42" s="49"/>
      <c r="E42" s="46"/>
      <c r="F42" s="180"/>
      <c r="G42" s="57"/>
      <c r="H42" s="46"/>
      <c r="I42" s="46"/>
      <c r="J42" s="180"/>
      <c r="K42" s="57"/>
      <c r="L42" s="46"/>
      <c r="M42" s="46"/>
      <c r="N42" s="180"/>
    </row>
    <row r="43" spans="1:16" s="21" customFormat="1" ht="18.5" x14ac:dyDescent="0.45">
      <c r="A43" s="72">
        <f>IF(F43&lt;&gt;"",(LARGE(A$10:A42,1)+1),"")</f>
        <v>12</v>
      </c>
      <c r="B43" s="140" t="s">
        <v>192</v>
      </c>
      <c r="C43" s="135">
        <v>2</v>
      </c>
      <c r="D43" s="49" t="s">
        <v>13</v>
      </c>
      <c r="E43" s="46">
        <f>G43+H43+J43+I43</f>
        <v>0</v>
      </c>
      <c r="F43" s="180">
        <f>E43*C43</f>
        <v>0</v>
      </c>
      <c r="G43" s="46">
        <v>0</v>
      </c>
      <c r="H43" s="46">
        <v>0</v>
      </c>
      <c r="I43" s="46">
        <f>IF(D43=0," ",(G43)*(Details!$C$4+Details!$C$8))</f>
        <v>0</v>
      </c>
      <c r="J43" s="180">
        <f>IF(D43=0," ",(H43)*(Details!$C$6+Details!$C$8))</f>
        <v>0</v>
      </c>
      <c r="K43" s="57">
        <f>+G43*C43</f>
        <v>0</v>
      </c>
      <c r="L43" s="46">
        <f>+H43*C43</f>
        <v>0</v>
      </c>
      <c r="M43" s="46">
        <f>IF(D43=0," ",(I43*C43))</f>
        <v>0</v>
      </c>
      <c r="N43" s="180">
        <f>IF(D43=0," ",(J43*C43))</f>
        <v>0</v>
      </c>
    </row>
    <row r="44" spans="1:16" s="21" customFormat="1" ht="18.5" x14ac:dyDescent="0.45">
      <c r="A44" s="72" t="str">
        <f>IF(F44&lt;&gt;"",(LARGE(A$10:A43,1)+1),"")</f>
        <v/>
      </c>
      <c r="B44" s="140"/>
      <c r="C44" s="135"/>
      <c r="D44" s="49"/>
      <c r="E44" s="46"/>
      <c r="F44" s="180"/>
      <c r="G44" s="57"/>
      <c r="H44" s="46"/>
      <c r="I44" s="46"/>
      <c r="J44" s="180"/>
      <c r="K44" s="57"/>
      <c r="L44" s="46"/>
      <c r="M44" s="46"/>
      <c r="N44" s="180"/>
    </row>
    <row r="45" spans="1:16" s="21" customFormat="1" ht="19" thickBot="1" x14ac:dyDescent="0.5">
      <c r="A45" s="72"/>
      <c r="B45" s="143"/>
      <c r="C45" s="135"/>
      <c r="D45" s="58"/>
      <c r="E45" s="60" t="s">
        <v>80</v>
      </c>
      <c r="F45" s="181">
        <f>SUM(F1:F44)</f>
        <v>0</v>
      </c>
      <c r="G45" s="57"/>
      <c r="H45" s="46"/>
      <c r="I45" s="46"/>
      <c r="J45" s="180" t="str">
        <f>IF(D45=0," ",(G45+H45)*(Details!$C$4+Details!$C$6))</f>
        <v xml:space="preserve"> </v>
      </c>
      <c r="K45" s="225">
        <f>SUM(K4:K44)</f>
        <v>0</v>
      </c>
      <c r="L45" s="226">
        <f>SUM(L4:L44)</f>
        <v>0</v>
      </c>
      <c r="M45" s="226">
        <f>SUM(M4:M44)</f>
        <v>0</v>
      </c>
      <c r="N45" s="181">
        <f>SUM(N4:N44)</f>
        <v>0</v>
      </c>
      <c r="O45" s="53"/>
      <c r="P45" s="70">
        <f>+F45-K45-L45-N45-M45</f>
        <v>0</v>
      </c>
    </row>
    <row r="46" spans="1:16" s="21" customFormat="1" ht="19.5" thickTop="1" thickBot="1" x14ac:dyDescent="0.5">
      <c r="A46" s="150" t="str">
        <f>IF(F46&lt;&gt;"",(LARGE(A$7:A45,1)+1),"")</f>
        <v/>
      </c>
      <c r="B46" s="145"/>
      <c r="C46" s="146"/>
      <c r="D46" s="61"/>
      <c r="E46" s="63"/>
      <c r="F46" s="65"/>
      <c r="G46" s="64"/>
      <c r="H46" s="63"/>
      <c r="I46" s="63"/>
      <c r="J46" s="65" t="str">
        <f>IF(D46=0," ",(G46+H46)*(Details!$C$4+Details!$C$6))</f>
        <v xml:space="preserve"> </v>
      </c>
      <c r="K46" s="207"/>
      <c r="L46" s="207"/>
      <c r="M46" s="207"/>
      <c r="N46" s="175"/>
      <c r="O46" s="53"/>
    </row>
    <row r="47" spans="1:16" x14ac:dyDescent="0.35">
      <c r="J47" s="16"/>
    </row>
    <row r="48" spans="1:16" x14ac:dyDescent="0.35">
      <c r="J48" s="16"/>
    </row>
  </sheetData>
  <mergeCells count="2">
    <mergeCell ref="G5:J5"/>
    <mergeCell ref="K5:N5"/>
  </mergeCells>
  <conditionalFormatting sqref="G30:G10441 G8:G28">
    <cfRule type="notContainsBlanks" dxfId="74" priority="3">
      <formula>LEN(TRIM(G8))&gt;0</formula>
    </cfRule>
  </conditionalFormatting>
  <conditionalFormatting sqref="H11:H13 H45:I10541 H21:H28">
    <cfRule type="notContainsBlanks" dxfId="73" priority="58">
      <formula>LEN(TRIM(H11))&gt;0</formula>
    </cfRule>
  </conditionalFormatting>
  <conditionalFormatting sqref="H15">
    <cfRule type="notContainsBlanks" dxfId="72" priority="56">
      <formula>LEN(TRIM(H15))&gt;0</formula>
    </cfRule>
  </conditionalFormatting>
  <conditionalFormatting sqref="H17">
    <cfRule type="notContainsBlanks" dxfId="71" priority="54">
      <formula>LEN(TRIM(H17))&gt;0</formula>
    </cfRule>
  </conditionalFormatting>
  <conditionalFormatting sqref="H19">
    <cfRule type="notContainsBlanks" dxfId="70" priority="52">
      <formula>LEN(TRIM(H19))&gt;0</formula>
    </cfRule>
  </conditionalFormatting>
  <conditionalFormatting sqref="H30:H33">
    <cfRule type="notContainsBlanks" dxfId="69" priority="14">
      <formula>LEN(TRIM(H30))&gt;0</formula>
    </cfRule>
  </conditionalFormatting>
  <conditionalFormatting sqref="H37">
    <cfRule type="notContainsBlanks" dxfId="68" priority="12">
      <formula>LEN(TRIM(H37))&gt;0</formula>
    </cfRule>
  </conditionalFormatting>
  <conditionalFormatting sqref="H39">
    <cfRule type="notContainsBlanks" dxfId="67" priority="10">
      <formula>LEN(TRIM(H39))&gt;0</formula>
    </cfRule>
  </conditionalFormatting>
  <conditionalFormatting sqref="H41">
    <cfRule type="notContainsBlanks" dxfId="66" priority="8">
      <formula>LEN(TRIM(H41))&gt;0</formula>
    </cfRule>
  </conditionalFormatting>
  <conditionalFormatting sqref="H43">
    <cfRule type="notContainsBlanks" dxfId="65" priority="6">
      <formula>LEN(TRIM(H43))&gt;0</formula>
    </cfRule>
  </conditionalFormatting>
  <conditionalFormatting sqref="H8:I10 I12 I22 I24 I26 I32">
    <cfRule type="notContainsBlanks" dxfId="64" priority="94">
      <formula>LEN(TRIM(H8))&gt;0</formula>
    </cfRule>
  </conditionalFormatting>
  <conditionalFormatting sqref="H14:I14 H16:I16 H18:I18 I30 H34:I36 H38:I38 H40:I40 H42:I42 H44:I44">
    <cfRule type="notContainsBlanks" dxfId="63" priority="67">
      <formula>LEN(TRIM(H14))&gt;0</formula>
    </cfRule>
  </conditionalFormatting>
  <conditionalFormatting sqref="H20:I20">
    <cfRule type="notContainsBlanks" dxfId="62" priority="77">
      <formula>LEN(TRIM(H20))&gt;0</formula>
    </cfRule>
  </conditionalFormatting>
  <conditionalFormatting sqref="P45">
    <cfRule type="cellIs" dxfId="61" priority="88" operator="equal">
      <formula>0</formula>
    </cfRule>
    <cfRule type="cellIs" dxfId="60" priority="89" operator="notBetween">
      <formula>-0.01</formula>
      <formula>0.01</formula>
    </cfRule>
  </conditionalFormatting>
  <conditionalFormatting sqref="G29">
    <cfRule type="notContainsBlanks" dxfId="59" priority="1">
      <formula>LEN(TRIM(G29))&gt;0</formula>
    </cfRule>
  </conditionalFormatting>
  <conditionalFormatting sqref="H29">
    <cfRule type="notContainsBlanks" dxfId="58" priority="2">
      <formula>LEN(TRIM(H29))&gt;0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1:P16"/>
  <sheetViews>
    <sheetView zoomScale="82" zoomScaleNormal="95" workbookViewId="0">
      <selection activeCell="B9" sqref="B9:D9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0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6" x14ac:dyDescent="0.35">
      <c r="A1" s="27"/>
      <c r="B1" s="23"/>
      <c r="C1" s="29"/>
      <c r="D1" s="24"/>
      <c r="E1" s="31"/>
      <c r="F1" s="32"/>
      <c r="G1" s="31"/>
      <c r="H1" s="31"/>
      <c r="I1" s="31"/>
      <c r="J1" s="24"/>
    </row>
    <row r="2" spans="1:16" x14ac:dyDescent="0.35">
      <c r="A2" s="15"/>
      <c r="B2" s="3" t="str">
        <f>+'Qual, Excl &amp; Assum'!B2</f>
        <v>PROJECT:EXTERNAL AND INTERNAL REFURBISHMENT OF EXISTING APARTMENTS</v>
      </c>
      <c r="F2" s="33"/>
      <c r="J2" s="16"/>
    </row>
    <row r="3" spans="1:16" x14ac:dyDescent="0.35">
      <c r="A3" s="15"/>
      <c r="B3" s="51" t="str">
        <f>+'Qual, Excl &amp; Assum'!B3</f>
        <v>DATE: 29TH OCTOBER 2025</v>
      </c>
      <c r="F3" s="33"/>
      <c r="J3" s="16"/>
    </row>
    <row r="4" spans="1:16" s="21" customFormat="1" ht="16" thickBot="1" x14ac:dyDescent="0.4">
      <c r="A4" s="15"/>
      <c r="B4" s="22"/>
      <c r="C4" s="30"/>
      <c r="E4" s="34"/>
      <c r="F4" s="35"/>
      <c r="G4" s="34"/>
      <c r="H4" s="34"/>
      <c r="I4" s="34"/>
      <c r="K4" s="20"/>
      <c r="L4" s="20"/>
      <c r="M4" s="20"/>
    </row>
    <row r="5" spans="1:16" s="21" customFormat="1" ht="38.25" customHeight="1" thickBot="1" x14ac:dyDescent="0.4">
      <c r="A5" s="186"/>
      <c r="B5" s="187" t="s">
        <v>22</v>
      </c>
      <c r="C5" s="188"/>
      <c r="D5" s="189"/>
      <c r="E5" s="190"/>
      <c r="F5" s="196"/>
      <c r="G5" s="344" t="s">
        <v>102</v>
      </c>
      <c r="H5" s="344"/>
      <c r="I5" s="344"/>
      <c r="J5" s="344"/>
      <c r="K5" s="343" t="s">
        <v>103</v>
      </c>
      <c r="L5" s="344"/>
      <c r="M5" s="344"/>
      <c r="N5" s="345"/>
    </row>
    <row r="6" spans="1:16" s="21" customFormat="1" ht="18.5" x14ac:dyDescent="0.45">
      <c r="A6" s="47"/>
      <c r="B6" s="36"/>
      <c r="C6" s="135"/>
      <c r="D6" s="36"/>
      <c r="E6" s="62"/>
      <c r="F6" s="178"/>
      <c r="G6" s="62"/>
      <c r="H6" s="62"/>
      <c r="I6" s="62"/>
      <c r="J6" s="36"/>
      <c r="K6" s="194"/>
      <c r="L6" s="20"/>
      <c r="M6" s="20"/>
      <c r="N6" s="25"/>
    </row>
    <row r="7" spans="1:16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6" s="21" customFormat="1" ht="18.5" x14ac:dyDescent="0.45">
      <c r="A8" s="47"/>
      <c r="B8" s="141"/>
      <c r="C8" s="138"/>
      <c r="D8" s="59"/>
      <c r="E8" s="60"/>
      <c r="F8" s="179"/>
      <c r="G8" s="57"/>
      <c r="H8" s="46"/>
      <c r="I8" s="46"/>
      <c r="J8" s="59"/>
      <c r="K8" s="194"/>
      <c r="L8" s="20"/>
      <c r="M8" s="20"/>
      <c r="N8" s="180" t="str">
        <f t="shared" ref="N8" si="0">IF(D8=0," ",(J8*C8))</f>
        <v xml:space="preserve"> </v>
      </c>
    </row>
    <row r="9" spans="1:16" s="21" customFormat="1" ht="18.5" x14ac:dyDescent="0.45">
      <c r="A9" s="47">
        <v>1</v>
      </c>
      <c r="B9" s="36" t="s">
        <v>33</v>
      </c>
      <c r="C9" s="135">
        <v>26</v>
      </c>
      <c r="D9" s="49" t="s">
        <v>194</v>
      </c>
      <c r="E9" s="46">
        <f>G9+H9+J9+I9</f>
        <v>0</v>
      </c>
      <c r="F9" s="180">
        <f>E9*C9</f>
        <v>0</v>
      </c>
      <c r="G9" s="46">
        <v>0</v>
      </c>
      <c r="H9" s="46">
        <v>0</v>
      </c>
      <c r="I9" s="46">
        <f>IF(D9=0," ",(G9)*(Details!$C$4+Details!$C$8))</f>
        <v>0</v>
      </c>
      <c r="J9" s="180">
        <f>IF(D9=0," ",(H9)*(Details!$C$6+Details!$C$8))</f>
        <v>0</v>
      </c>
      <c r="K9" s="57">
        <f>+G9*C9</f>
        <v>0</v>
      </c>
      <c r="L9" s="46">
        <f>+H9*C9</f>
        <v>0</v>
      </c>
      <c r="M9" s="46">
        <f>IF(D9=0," ",(I9*C9))</f>
        <v>0</v>
      </c>
      <c r="N9" s="180">
        <f>IF(D9=0," ",(J9*C9))</f>
        <v>0</v>
      </c>
    </row>
    <row r="10" spans="1:16" s="21" customFormat="1" ht="18.5" x14ac:dyDescent="0.45">
      <c r="A10" s="47"/>
      <c r="B10" s="141"/>
      <c r="C10" s="135"/>
      <c r="D10" s="49"/>
      <c r="E10" s="46"/>
      <c r="F10" s="180"/>
      <c r="G10" s="57"/>
      <c r="H10" s="46"/>
      <c r="I10" s="46"/>
      <c r="J10" s="180"/>
      <c r="K10" s="194"/>
      <c r="L10" s="20"/>
      <c r="M10" s="20"/>
      <c r="N10" s="180"/>
    </row>
    <row r="11" spans="1:16" s="21" customFormat="1" ht="18.5" x14ac:dyDescent="0.45">
      <c r="A11" s="72">
        <f>IF(F11&lt;&gt;"",(LARGE(A$7:A10,1)+1),"")</f>
        <v>2</v>
      </c>
      <c r="B11" s="36" t="s">
        <v>32</v>
      </c>
      <c r="C11" s="135">
        <v>570</v>
      </c>
      <c r="D11" s="49" t="s">
        <v>13</v>
      </c>
      <c r="E11" s="46">
        <f t="shared" ref="E11" si="1">G11+H11+J11+I11</f>
        <v>0</v>
      </c>
      <c r="F11" s="180">
        <f>E11*C11</f>
        <v>0</v>
      </c>
      <c r="G11" s="46">
        <v>0</v>
      </c>
      <c r="H11" s="46">
        <v>0</v>
      </c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</row>
    <row r="12" spans="1:16" s="21" customFormat="1" ht="18.5" x14ac:dyDescent="0.45">
      <c r="A12" s="72" t="str">
        <f>IF(F12&lt;&gt;"",(LARGE(A$7:A11,1)+1),"")</f>
        <v/>
      </c>
      <c r="B12" s="141"/>
      <c r="C12" s="135"/>
      <c r="D12" s="49"/>
      <c r="E12" s="46"/>
      <c r="F12" s="180"/>
      <c r="G12" s="57"/>
      <c r="H12" s="46"/>
      <c r="I12" s="46"/>
      <c r="J12" s="180"/>
      <c r="K12" s="194"/>
      <c r="L12" s="20"/>
      <c r="M12" s="20"/>
      <c r="N12" s="180"/>
    </row>
    <row r="13" spans="1:16" s="21" customFormat="1" ht="18.5" x14ac:dyDescent="0.45">
      <c r="A13" s="72">
        <f>IF(F13&lt;&gt;"",(LARGE(A$7:A12,1)+1),"")</f>
        <v>3</v>
      </c>
      <c r="B13" s="36" t="s">
        <v>110</v>
      </c>
      <c r="C13" s="135">
        <f>+Joinery!C33</f>
        <v>54</v>
      </c>
      <c r="D13" s="49" t="s">
        <v>13</v>
      </c>
      <c r="E13" s="46">
        <f t="shared" ref="E13" si="2">G13+H13+J13+I13</f>
        <v>0</v>
      </c>
      <c r="F13" s="180">
        <f>E13*C13</f>
        <v>0</v>
      </c>
      <c r="G13" s="46">
        <v>0</v>
      </c>
      <c r="H13" s="46">
        <v>0</v>
      </c>
      <c r="I13" s="46">
        <f>IF(D13=0," ",(G13)*(Details!$C$4+Details!$C$8))</f>
        <v>0</v>
      </c>
      <c r="J13" s="180">
        <f>IF(D13=0," ",(H13)*(Details!$C$6+Details!$C$8))</f>
        <v>0</v>
      </c>
      <c r="K13" s="57">
        <f>+G13*C13</f>
        <v>0</v>
      </c>
      <c r="L13" s="46">
        <f>+H13*C13</f>
        <v>0</v>
      </c>
      <c r="M13" s="46">
        <f>IF(D13=0," ",(I13*C13))</f>
        <v>0</v>
      </c>
      <c r="N13" s="180">
        <f>IF(D13=0," ",(J13*C13))</f>
        <v>0</v>
      </c>
    </row>
    <row r="14" spans="1:16" s="21" customFormat="1" ht="18.5" x14ac:dyDescent="0.45">
      <c r="A14" s="72" t="str">
        <f>IF(F14&lt;&gt;"",(LARGE(A$7:A13,1)+1),"")</f>
        <v/>
      </c>
      <c r="B14" s="141"/>
      <c r="C14" s="135"/>
      <c r="D14" s="58"/>
      <c r="E14" s="46"/>
      <c r="F14" s="180"/>
      <c r="G14" s="57"/>
      <c r="H14" s="46"/>
      <c r="I14" s="46"/>
      <c r="J14" s="180"/>
      <c r="K14" s="194"/>
      <c r="L14" s="20"/>
      <c r="M14" s="20"/>
      <c r="N14" s="180"/>
      <c r="P14" s="66"/>
    </row>
    <row r="15" spans="1:16" s="21" customFormat="1" ht="19" thickBot="1" x14ac:dyDescent="0.5">
      <c r="A15" s="72"/>
      <c r="B15" s="149"/>
      <c r="C15" s="135"/>
      <c r="D15" s="58"/>
      <c r="E15" s="60" t="s">
        <v>80</v>
      </c>
      <c r="F15" s="181">
        <f>SUM(F1:F14)</f>
        <v>0</v>
      </c>
      <c r="G15" s="57"/>
      <c r="H15" s="46"/>
      <c r="I15" s="46"/>
      <c r="J15" s="180" t="str">
        <f>IF(D15=0," ",(G15+H15)*(Details!$C$4+Details!$C$6))</f>
        <v xml:space="preserve"> </v>
      </c>
      <c r="K15" s="225">
        <f>SUM(K1:K14)</f>
        <v>0</v>
      </c>
      <c r="L15" s="226">
        <f>SUM(L1:L14)</f>
        <v>0</v>
      </c>
      <c r="M15" s="226">
        <f>SUM(M1:M14)</f>
        <v>0</v>
      </c>
      <c r="N15" s="181">
        <f>SUM(N1:N14)</f>
        <v>0</v>
      </c>
      <c r="O15" s="53"/>
      <c r="P15" s="70">
        <f>+F15-K15-L15-N15-M15</f>
        <v>0</v>
      </c>
    </row>
    <row r="16" spans="1:16" s="21" customFormat="1" ht="19.5" thickTop="1" thickBot="1" x14ac:dyDescent="0.5">
      <c r="A16" s="48"/>
      <c r="B16" s="151"/>
      <c r="C16" s="146"/>
      <c r="D16" s="61"/>
      <c r="E16" s="63"/>
      <c r="F16" s="65"/>
      <c r="G16" s="64"/>
      <c r="H16" s="63"/>
      <c r="I16" s="63"/>
      <c r="J16" s="63"/>
      <c r="K16" s="227"/>
      <c r="L16" s="207"/>
      <c r="M16" s="207"/>
      <c r="N16" s="175"/>
      <c r="O16" s="53"/>
    </row>
  </sheetData>
  <mergeCells count="2">
    <mergeCell ref="G5:J5"/>
    <mergeCell ref="K5:N5"/>
  </mergeCells>
  <conditionalFormatting sqref="G8:G10511">
    <cfRule type="notContainsBlanks" dxfId="57" priority="1">
      <formula>LEN(TRIM(G8))&gt;0</formula>
    </cfRule>
  </conditionalFormatting>
  <conditionalFormatting sqref="H9:H13 H15:I10411">
    <cfRule type="notContainsBlanks" dxfId="56" priority="4">
      <formula>LEN(TRIM(H9))&gt;0</formula>
    </cfRule>
  </conditionalFormatting>
  <conditionalFormatting sqref="H8:I8">
    <cfRule type="notContainsBlanks" dxfId="55" priority="15">
      <formula>LEN(TRIM(H8))&gt;0</formula>
    </cfRule>
  </conditionalFormatting>
  <conditionalFormatting sqref="H14:I14">
    <cfRule type="notContainsBlanks" dxfId="54" priority="8">
      <formula>LEN(TRIM(H14))&gt;0</formula>
    </cfRule>
  </conditionalFormatting>
  <conditionalFormatting sqref="I10">
    <cfRule type="notContainsBlanks" dxfId="53" priority="10">
      <formula>LEN(TRIM(I10))&gt;0</formula>
    </cfRule>
  </conditionalFormatting>
  <conditionalFormatting sqref="I12">
    <cfRule type="notContainsBlanks" dxfId="52" priority="9">
      <formula>LEN(TRIM(I12))&gt;0</formula>
    </cfRule>
  </conditionalFormatting>
  <conditionalFormatting sqref="P15">
    <cfRule type="cellIs" dxfId="51" priority="11" operator="equal">
      <formula>0</formula>
    </cfRule>
    <cfRule type="cellIs" dxfId="50" priority="1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P21"/>
  <sheetViews>
    <sheetView zoomScale="84" zoomScaleNormal="95" workbookViewId="0">
      <selection activeCell="B17" sqref="B17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0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7"/>
      <c r="B1" s="23"/>
      <c r="C1" s="29"/>
      <c r="D1" s="24"/>
      <c r="E1" s="31"/>
      <c r="F1" s="32"/>
      <c r="G1" s="31"/>
      <c r="H1" s="31"/>
      <c r="I1" s="31"/>
      <c r="J1" s="24"/>
    </row>
    <row r="2" spans="1:14" x14ac:dyDescent="0.35">
      <c r="A2" s="15"/>
      <c r="B2" s="3" t="str">
        <f>+'Qual, Excl &amp; Assum'!B2</f>
        <v>PROJECT:EXTERNAL AND INTERNAL REFURBISHMENT OF EXISTING APARTMENTS</v>
      </c>
      <c r="F2" s="33"/>
      <c r="J2" s="16"/>
    </row>
    <row r="3" spans="1:14" x14ac:dyDescent="0.35">
      <c r="A3" s="15"/>
      <c r="B3" s="51" t="str">
        <f>+'Qual, Excl &amp; Assum'!B3</f>
        <v>DATE: 29TH OCTOBER 2025</v>
      </c>
      <c r="F3" s="33"/>
      <c r="J3" s="16"/>
    </row>
    <row r="4" spans="1:14" s="21" customFormat="1" ht="16" thickBot="1" x14ac:dyDescent="0.4">
      <c r="A4" s="15"/>
      <c r="B4" s="22"/>
      <c r="C4" s="30"/>
      <c r="E4" s="34"/>
      <c r="F4" s="35"/>
      <c r="G4" s="34"/>
      <c r="H4" s="34"/>
      <c r="I4" s="34"/>
      <c r="K4" s="20"/>
      <c r="L4" s="20"/>
      <c r="M4" s="20"/>
    </row>
    <row r="5" spans="1:14" s="21" customFormat="1" ht="38.25" customHeight="1" thickBot="1" x14ac:dyDescent="0.4">
      <c r="A5" s="186"/>
      <c r="B5" s="187" t="s">
        <v>31</v>
      </c>
      <c r="C5" s="188"/>
      <c r="D5" s="189"/>
      <c r="E5" s="190"/>
      <c r="F5" s="196"/>
      <c r="G5" s="344" t="s">
        <v>102</v>
      </c>
      <c r="H5" s="344"/>
      <c r="I5" s="344"/>
      <c r="J5" s="344"/>
      <c r="K5" s="343" t="s">
        <v>103</v>
      </c>
      <c r="L5" s="344"/>
      <c r="M5" s="344"/>
      <c r="N5" s="345"/>
    </row>
    <row r="6" spans="1:14" s="21" customFormat="1" ht="18.5" x14ac:dyDescent="0.45">
      <c r="A6" s="47"/>
      <c r="B6" s="36"/>
      <c r="C6" s="135"/>
      <c r="D6" s="36"/>
      <c r="E6" s="62"/>
      <c r="F6" s="178"/>
      <c r="G6" s="62"/>
      <c r="H6" s="62"/>
      <c r="I6" s="62"/>
      <c r="J6" s="36"/>
      <c r="K6" s="194"/>
      <c r="L6" s="20"/>
      <c r="M6" s="20"/>
      <c r="N6" s="25"/>
    </row>
    <row r="7" spans="1:14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4" s="21" customFormat="1" ht="18.5" x14ac:dyDescent="0.45">
      <c r="A8" s="47"/>
      <c r="B8" s="3"/>
      <c r="C8" s="310"/>
      <c r="D8" s="235"/>
      <c r="E8" s="52"/>
      <c r="F8" s="236"/>
      <c r="G8" s="237"/>
      <c r="H8" s="237"/>
      <c r="I8" s="237"/>
      <c r="J8" s="311"/>
      <c r="K8" s="237"/>
      <c r="L8" s="237"/>
      <c r="M8" s="237"/>
      <c r="N8" s="238"/>
    </row>
    <row r="9" spans="1:14" s="21" customFormat="1" ht="18.5" x14ac:dyDescent="0.45">
      <c r="A9" s="47"/>
      <c r="B9" s="155" t="s">
        <v>195</v>
      </c>
      <c r="C9" s="310"/>
      <c r="D9" s="235"/>
      <c r="E9" s="52"/>
      <c r="F9" s="236"/>
      <c r="G9" s="237"/>
      <c r="H9" s="237"/>
      <c r="I9" s="237"/>
      <c r="J9" s="311"/>
      <c r="K9" s="237"/>
      <c r="L9" s="237"/>
      <c r="M9" s="237"/>
      <c r="N9" s="238"/>
    </row>
    <row r="10" spans="1:14" s="21" customFormat="1" ht="18.5" x14ac:dyDescent="0.45">
      <c r="A10" s="47"/>
      <c r="B10" s="3"/>
      <c r="C10" s="310"/>
      <c r="D10" s="235"/>
      <c r="E10" s="52"/>
      <c r="F10" s="236"/>
      <c r="G10" s="237"/>
      <c r="H10" s="237"/>
      <c r="I10" s="237"/>
      <c r="J10" s="311"/>
      <c r="K10" s="237"/>
      <c r="L10" s="237"/>
      <c r="M10" s="237"/>
      <c r="N10" s="238"/>
    </row>
    <row r="11" spans="1:14" s="21" customFormat="1" ht="37" x14ac:dyDescent="0.45">
      <c r="A11" s="72">
        <v>1</v>
      </c>
      <c r="B11" s="141" t="s">
        <v>196</v>
      </c>
      <c r="C11" s="135">
        <v>358</v>
      </c>
      <c r="D11" s="49" t="s">
        <v>10</v>
      </c>
      <c r="E11" s="46">
        <f>G11+H11+J11+I11</f>
        <v>0</v>
      </c>
      <c r="F11" s="180">
        <f>E11*C11</f>
        <v>0</v>
      </c>
      <c r="G11" s="46">
        <v>0</v>
      </c>
      <c r="H11" s="46">
        <v>0</v>
      </c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</row>
    <row r="12" spans="1:14" s="21" customFormat="1" ht="18.5" x14ac:dyDescent="0.45">
      <c r="A12" s="47"/>
      <c r="B12" s="147"/>
      <c r="C12" s="138"/>
      <c r="D12" s="59"/>
      <c r="E12" s="60"/>
      <c r="F12" s="179"/>
      <c r="G12" s="57"/>
      <c r="H12" s="46"/>
      <c r="I12" s="46"/>
      <c r="J12" s="59"/>
      <c r="K12" s="194"/>
      <c r="L12" s="20"/>
      <c r="M12" s="20"/>
      <c r="N12" s="180" t="str">
        <f t="shared" ref="N12" si="0">IF(D12=0," ",(J12*C12))</f>
        <v xml:space="preserve"> </v>
      </c>
    </row>
    <row r="13" spans="1:14" s="21" customFormat="1" ht="18.5" x14ac:dyDescent="0.45">
      <c r="A13" s="47"/>
      <c r="B13" s="155" t="s">
        <v>36</v>
      </c>
      <c r="C13" s="135"/>
      <c r="D13" s="58"/>
      <c r="E13" s="46"/>
      <c r="F13" s="180"/>
      <c r="G13" s="57"/>
      <c r="H13" s="46"/>
      <c r="I13" s="46"/>
      <c r="J13" s="46"/>
      <c r="K13" s="194"/>
      <c r="L13" s="20"/>
      <c r="M13" s="20"/>
      <c r="N13" s="180"/>
    </row>
    <row r="14" spans="1:14" s="21" customFormat="1" ht="18.5" x14ac:dyDescent="0.45">
      <c r="A14" s="47"/>
      <c r="B14" s="155"/>
      <c r="C14" s="135"/>
      <c r="D14" s="58"/>
      <c r="E14" s="46"/>
      <c r="F14" s="180"/>
      <c r="G14" s="46"/>
      <c r="H14" s="46"/>
      <c r="I14" s="46"/>
      <c r="J14" s="46"/>
      <c r="K14" s="194"/>
      <c r="L14" s="20"/>
      <c r="M14" s="20"/>
      <c r="N14" s="180"/>
    </row>
    <row r="15" spans="1:14" s="21" customFormat="1" ht="37" x14ac:dyDescent="0.45">
      <c r="A15" s="72">
        <f>IF(F15&lt;&gt;"",(LARGE(A$7:A14,1)+1),"")</f>
        <v>2</v>
      </c>
      <c r="B15" s="141" t="s">
        <v>197</v>
      </c>
      <c r="C15" s="135">
        <v>34</v>
      </c>
      <c r="D15" s="49" t="s">
        <v>10</v>
      </c>
      <c r="E15" s="46">
        <f>G15+H15+J15+I15</f>
        <v>0</v>
      </c>
      <c r="F15" s="180">
        <f>E15*C15</f>
        <v>0</v>
      </c>
      <c r="G15" s="46">
        <v>0</v>
      </c>
      <c r="H15" s="46">
        <v>0</v>
      </c>
      <c r="I15" s="46">
        <f>IF(D15=0," ",(G15)*(Details!$C$4+Details!$C$8))</f>
        <v>0</v>
      </c>
      <c r="J15" s="180">
        <f>IF(D15=0," ",(H15)*(Details!$C$6+Details!$C$8))</f>
        <v>0</v>
      </c>
      <c r="K15" s="57">
        <f>+G15*C15</f>
        <v>0</v>
      </c>
      <c r="L15" s="46">
        <f>+H15*C15</f>
        <v>0</v>
      </c>
      <c r="M15" s="46">
        <f>IF(D15=0," ",(I15*C15))</f>
        <v>0</v>
      </c>
      <c r="N15" s="180">
        <f>IF(D15=0," ",(J15*C15))</f>
        <v>0</v>
      </c>
    </row>
    <row r="16" spans="1:14" s="21" customFormat="1" ht="18.5" x14ac:dyDescent="0.45">
      <c r="A16" s="47"/>
      <c r="B16" s="141"/>
      <c r="C16" s="135"/>
      <c r="D16" s="58"/>
      <c r="E16" s="46"/>
      <c r="F16" s="180"/>
      <c r="G16" s="57"/>
      <c r="H16" s="46"/>
      <c r="I16" s="46"/>
      <c r="J16" s="180"/>
      <c r="K16" s="194"/>
      <c r="L16" s="20"/>
      <c r="M16" s="20"/>
      <c r="N16" s="180"/>
    </row>
    <row r="17" spans="1:16" s="21" customFormat="1" ht="18.5" x14ac:dyDescent="0.45">
      <c r="A17" s="72" t="str">
        <f>IF(F17&lt;&gt;"",(LARGE(A$7:A16,1)+1),"")</f>
        <v/>
      </c>
      <c r="B17" s="141"/>
      <c r="C17" s="156"/>
      <c r="D17" s="49"/>
      <c r="E17" s="46"/>
      <c r="F17" s="180"/>
      <c r="G17" s="57"/>
      <c r="H17" s="46"/>
      <c r="I17" s="46"/>
      <c r="J17" s="180" t="str">
        <f>IF(D17=0," ",(G17+H17)*(Details!$C$4+Details!$C$6))</f>
        <v xml:space="preserve"> </v>
      </c>
      <c r="K17" s="194"/>
      <c r="L17" s="20"/>
      <c r="M17" s="20"/>
      <c r="N17" s="180"/>
      <c r="P17" s="70" t="s">
        <v>106</v>
      </c>
    </row>
    <row r="18" spans="1:16" s="21" customFormat="1" ht="19" thickBot="1" x14ac:dyDescent="0.5">
      <c r="A18" s="72"/>
      <c r="B18" s="149"/>
      <c r="C18" s="135"/>
      <c r="D18" s="58"/>
      <c r="E18" s="60" t="s">
        <v>80</v>
      </c>
      <c r="F18" s="181">
        <f>SUM(F1:F17)</f>
        <v>0</v>
      </c>
      <c r="G18" s="57"/>
      <c r="H18" s="46"/>
      <c r="I18" s="46"/>
      <c r="J18" s="180" t="str">
        <f>IF(D18=0," ",(G18+H18)*(Details!$C$4+Details!$C$6))</f>
        <v xml:space="preserve"> </v>
      </c>
      <c r="K18" s="225">
        <f>SUM(K1:K17)</f>
        <v>0</v>
      </c>
      <c r="L18" s="226">
        <f>SUM(L1:L17)</f>
        <v>0</v>
      </c>
      <c r="M18" s="226">
        <f>SUM(M1:M17)</f>
        <v>0</v>
      </c>
      <c r="N18" s="181">
        <f>SUM(N1:N17)</f>
        <v>0</v>
      </c>
      <c r="O18" s="53"/>
      <c r="P18" s="70">
        <f>+F18-K18-L18-N18-M18</f>
        <v>0</v>
      </c>
    </row>
    <row r="19" spans="1:16" s="21" customFormat="1" ht="19.5" thickTop="1" thickBot="1" x14ac:dyDescent="0.5">
      <c r="A19" s="150" t="str">
        <f>IF(F19&lt;&gt;"",(LARGE(A$7:A18,1)+1),"")</f>
        <v/>
      </c>
      <c r="B19" s="151"/>
      <c r="C19" s="146"/>
      <c r="D19" s="61"/>
      <c r="E19" s="63"/>
      <c r="F19" s="65"/>
      <c r="G19" s="64"/>
      <c r="H19" s="63"/>
      <c r="I19" s="63"/>
      <c r="J19" s="65" t="str">
        <f>IF(D19=0," ",(G19+H19)*(Details!$C$4+Details!$C$6))</f>
        <v xml:space="preserve"> </v>
      </c>
      <c r="K19" s="207"/>
      <c r="L19" s="207"/>
      <c r="M19" s="207"/>
      <c r="N19" s="175"/>
      <c r="O19" s="53"/>
    </row>
    <row r="20" spans="1:16" x14ac:dyDescent="0.35">
      <c r="J20" s="16"/>
    </row>
    <row r="21" spans="1:16" x14ac:dyDescent="0.35">
      <c r="J21" s="16"/>
    </row>
  </sheetData>
  <mergeCells count="2">
    <mergeCell ref="G5:J5"/>
    <mergeCell ref="K5:N5"/>
  </mergeCells>
  <conditionalFormatting sqref="G12:G10514">
    <cfRule type="notContainsBlanks" dxfId="49" priority="3">
      <formula>LEN(TRIM(G12))&gt;0</formula>
    </cfRule>
  </conditionalFormatting>
  <conditionalFormatting sqref="H15:H16 H17:I10414">
    <cfRule type="notContainsBlanks" dxfId="48" priority="4">
      <formula>LEN(TRIM(H15))&gt;0</formula>
    </cfRule>
  </conditionalFormatting>
  <conditionalFormatting sqref="H12:I14 I16">
    <cfRule type="notContainsBlanks" dxfId="47" priority="9">
      <formula>LEN(TRIM(H12))&gt;0</formula>
    </cfRule>
  </conditionalFormatting>
  <conditionalFormatting sqref="P18">
    <cfRule type="cellIs" dxfId="46" priority="5" operator="equal">
      <formula>0</formula>
    </cfRule>
    <cfRule type="cellIs" dxfId="45" priority="6" operator="notBetween">
      <formula>-0.01</formula>
      <formula>0.01</formula>
    </cfRule>
  </conditionalFormatting>
  <conditionalFormatting sqref="G11">
    <cfRule type="notContainsBlanks" dxfId="44" priority="1">
      <formula>LEN(TRIM(G11))&gt;0</formula>
    </cfRule>
  </conditionalFormatting>
  <conditionalFormatting sqref="H11">
    <cfRule type="notContainsBlanks" dxfId="43" priority="2">
      <formula>LEN(TRIM(H11))&gt;0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P25"/>
  <sheetViews>
    <sheetView zoomScale="77" zoomScaleNormal="77" workbookViewId="0">
      <selection activeCell="A15" sqref="A1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6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7"/>
      <c r="B1" s="23"/>
      <c r="C1" s="28"/>
      <c r="D1" s="24"/>
      <c r="E1" s="31"/>
      <c r="F1" s="32"/>
      <c r="G1" s="31"/>
      <c r="H1" s="31"/>
      <c r="I1" s="31"/>
      <c r="J1" s="24"/>
    </row>
    <row r="2" spans="1:14" x14ac:dyDescent="0.35">
      <c r="A2" s="15"/>
      <c r="B2" s="3" t="str">
        <f>+'Qual, Excl &amp; Assum'!B2</f>
        <v>PROJECT:EXTERNAL AND INTERNAL REFURBISHMENT OF EXISTING APARTMENTS</v>
      </c>
      <c r="F2" s="33"/>
      <c r="J2" s="16"/>
    </row>
    <row r="3" spans="1:14" x14ac:dyDescent="0.35">
      <c r="A3" s="15"/>
      <c r="B3" s="51" t="str">
        <f>+'Qual, Excl &amp; Assum'!B3</f>
        <v>DATE: 29TH OCTOBER 2025</v>
      </c>
      <c r="F3" s="33"/>
      <c r="J3" s="16"/>
    </row>
    <row r="4" spans="1:14" s="21" customFormat="1" ht="16" thickBot="1" x14ac:dyDescent="0.4">
      <c r="A4" s="15"/>
      <c r="B4" s="22"/>
      <c r="C4" s="26"/>
      <c r="E4" s="34"/>
      <c r="F4" s="35"/>
      <c r="G4" s="34"/>
      <c r="H4" s="34"/>
      <c r="I4" s="34"/>
      <c r="K4" s="20"/>
      <c r="L4" s="20"/>
      <c r="M4" s="20"/>
    </row>
    <row r="5" spans="1:14" s="21" customFormat="1" ht="38.25" customHeight="1" thickBot="1" x14ac:dyDescent="0.4">
      <c r="A5" s="186"/>
      <c r="B5" s="187" t="s">
        <v>43</v>
      </c>
      <c r="C5" s="191"/>
      <c r="D5" s="189"/>
      <c r="E5" s="190"/>
      <c r="F5" s="196"/>
      <c r="G5" s="344" t="s">
        <v>102</v>
      </c>
      <c r="H5" s="344"/>
      <c r="I5" s="344"/>
      <c r="J5" s="344"/>
      <c r="K5" s="343" t="s">
        <v>103</v>
      </c>
      <c r="L5" s="344"/>
      <c r="M5" s="344"/>
      <c r="N5" s="345"/>
    </row>
    <row r="6" spans="1:14" s="21" customFormat="1" ht="18.5" x14ac:dyDescent="0.45">
      <c r="A6" s="47"/>
      <c r="B6" s="36"/>
      <c r="C6" s="50"/>
      <c r="D6" s="36"/>
      <c r="E6" s="62"/>
      <c r="F6" s="178"/>
      <c r="G6" s="62"/>
      <c r="H6" s="62"/>
      <c r="I6" s="62"/>
      <c r="J6" s="36"/>
      <c r="K6" s="194"/>
      <c r="L6" s="20"/>
      <c r="M6" s="20"/>
      <c r="N6" s="25"/>
    </row>
    <row r="7" spans="1:14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4" s="21" customFormat="1" ht="18.5" x14ac:dyDescent="0.45">
      <c r="A8" s="47"/>
      <c r="B8" s="147"/>
      <c r="C8" s="138"/>
      <c r="D8" s="59"/>
      <c r="E8" s="60"/>
      <c r="F8" s="179"/>
      <c r="G8" s="57"/>
      <c r="H8" s="46"/>
      <c r="I8" s="46"/>
      <c r="J8" s="59"/>
      <c r="K8" s="194"/>
      <c r="L8" s="20"/>
      <c r="M8" s="20"/>
      <c r="N8" s="180" t="str">
        <f t="shared" ref="N8" si="0">IF(D8=0," ",(J8*C8))</f>
        <v xml:space="preserve"> </v>
      </c>
    </row>
    <row r="9" spans="1:14" s="21" customFormat="1" ht="18.5" x14ac:dyDescent="0.45">
      <c r="A9" s="47"/>
      <c r="B9" s="155" t="s">
        <v>112</v>
      </c>
      <c r="C9" s="135"/>
      <c r="D9" s="58"/>
      <c r="E9" s="46"/>
      <c r="F9" s="180"/>
      <c r="G9" s="57"/>
      <c r="H9" s="46"/>
      <c r="I9" s="46"/>
      <c r="J9" s="46"/>
      <c r="K9" s="194"/>
      <c r="L9" s="20"/>
      <c r="M9" s="20"/>
      <c r="N9" s="180"/>
    </row>
    <row r="10" spans="1:14" s="21" customFormat="1" ht="18.5" x14ac:dyDescent="0.45">
      <c r="A10" s="47"/>
      <c r="B10" s="155"/>
      <c r="C10" s="135"/>
      <c r="D10" s="58"/>
      <c r="E10" s="46"/>
      <c r="F10" s="180"/>
      <c r="G10" s="57"/>
      <c r="H10" s="46"/>
      <c r="I10" s="46"/>
      <c r="J10" s="46"/>
      <c r="K10" s="194"/>
      <c r="L10" s="20"/>
      <c r="M10" s="20"/>
      <c r="N10" s="180"/>
    </row>
    <row r="11" spans="1:14" s="21" customFormat="1" ht="18.5" x14ac:dyDescent="0.45">
      <c r="A11" s="47">
        <v>1</v>
      </c>
      <c r="B11" s="141" t="s">
        <v>251</v>
      </c>
      <c r="C11" s="135">
        <f>71*2.43</f>
        <v>172.53</v>
      </c>
      <c r="D11" s="49" t="s">
        <v>10</v>
      </c>
      <c r="E11" s="46">
        <f>G11+H11+J11+I11</f>
        <v>0</v>
      </c>
      <c r="F11" s="180">
        <f>E11*C11</f>
        <v>0</v>
      </c>
      <c r="G11" s="46">
        <v>0</v>
      </c>
      <c r="H11" s="46">
        <v>0</v>
      </c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</row>
    <row r="12" spans="1:14" s="21" customFormat="1" ht="18.5" x14ac:dyDescent="0.45">
      <c r="A12" s="47"/>
      <c r="B12" s="141"/>
      <c r="C12" s="135"/>
      <c r="D12" s="58"/>
      <c r="E12" s="46"/>
      <c r="F12" s="180"/>
      <c r="G12" s="57"/>
      <c r="H12" s="46"/>
      <c r="I12" s="46"/>
      <c r="J12" s="180"/>
      <c r="K12" s="194"/>
      <c r="L12" s="20"/>
      <c r="M12" s="20"/>
      <c r="N12" s="180"/>
    </row>
    <row r="13" spans="1:14" s="21" customFormat="1" ht="18.5" x14ac:dyDescent="0.45">
      <c r="A13" s="47"/>
      <c r="B13" s="155" t="s">
        <v>198</v>
      </c>
      <c r="C13" s="312"/>
      <c r="D13" s="49"/>
      <c r="E13" s="46"/>
      <c r="F13" s="180"/>
      <c r="G13" s="57"/>
      <c r="H13" s="46"/>
      <c r="I13" s="46"/>
      <c r="J13" s="180"/>
      <c r="K13" s="194"/>
      <c r="L13" s="20"/>
      <c r="M13" s="20"/>
      <c r="N13" s="180"/>
    </row>
    <row r="14" spans="1:14" s="21" customFormat="1" ht="18.5" x14ac:dyDescent="0.45">
      <c r="A14" s="72"/>
      <c r="B14" s="141"/>
      <c r="C14" s="135"/>
      <c r="D14" s="49"/>
      <c r="E14" s="46"/>
      <c r="F14" s="180"/>
      <c r="G14" s="57"/>
      <c r="H14" s="46"/>
      <c r="I14" s="46"/>
      <c r="J14" s="180"/>
      <c r="K14" s="194"/>
      <c r="L14" s="20"/>
      <c r="M14" s="20"/>
      <c r="N14" s="180"/>
    </row>
    <row r="15" spans="1:14" s="21" customFormat="1" ht="18.5" x14ac:dyDescent="0.45">
      <c r="A15" s="72">
        <f>IF(F15&lt;&gt;"",(LARGE(A$7:A14,1)+1),"")</f>
        <v>2</v>
      </c>
      <c r="B15" s="141" t="s">
        <v>199</v>
      </c>
      <c r="C15" s="135">
        <f>415*2.43</f>
        <v>1008.45</v>
      </c>
      <c r="D15" s="49" t="s">
        <v>10</v>
      </c>
      <c r="E15" s="46">
        <f>G15+H15+J15+I15</f>
        <v>0</v>
      </c>
      <c r="F15" s="180">
        <f>E15*C15</f>
        <v>0</v>
      </c>
      <c r="G15" s="46">
        <v>0</v>
      </c>
      <c r="H15" s="46">
        <v>0</v>
      </c>
      <c r="I15" s="46">
        <f>IF(D15=0," ",(G15)*(Details!$C$4+Details!$C$8))</f>
        <v>0</v>
      </c>
      <c r="J15" s="180">
        <f>IF(D15=0," ",(H15)*(Details!$C$6+Details!$C$8))</f>
        <v>0</v>
      </c>
      <c r="K15" s="57">
        <f>+G15*C15</f>
        <v>0</v>
      </c>
      <c r="L15" s="46">
        <f>+H15*C15</f>
        <v>0</v>
      </c>
      <c r="M15" s="46">
        <f>IF(D15=0," ",(I15*C15))</f>
        <v>0</v>
      </c>
      <c r="N15" s="180">
        <f>IF(D15=0," ",(J15*C15))</f>
        <v>0</v>
      </c>
    </row>
    <row r="16" spans="1:14" s="21" customFormat="1" ht="18.5" x14ac:dyDescent="0.45">
      <c r="A16" s="72" t="str">
        <f>IF(F16&lt;&gt;"",(LARGE(A$7:A14,1)+1),"")</f>
        <v/>
      </c>
      <c r="B16" s="141"/>
      <c r="C16" s="135"/>
      <c r="D16" s="49"/>
      <c r="E16" s="46"/>
      <c r="F16" s="180"/>
      <c r="G16" s="57"/>
      <c r="H16" s="46"/>
      <c r="I16" s="46"/>
      <c r="J16" s="180"/>
      <c r="K16" s="194"/>
      <c r="L16" s="20"/>
      <c r="M16" s="20"/>
      <c r="N16" s="180"/>
    </row>
    <row r="17" spans="1:16" s="21" customFormat="1" ht="18.5" x14ac:dyDescent="0.45">
      <c r="A17" s="72" t="str">
        <f>IF(F17&lt;&gt;"",(LARGE(A$7:A16,1)+1),"")</f>
        <v/>
      </c>
      <c r="B17" s="155" t="s">
        <v>113</v>
      </c>
      <c r="C17" s="135"/>
      <c r="D17" s="58"/>
      <c r="E17" s="46"/>
      <c r="F17" s="180"/>
      <c r="G17" s="57"/>
      <c r="H17" s="46"/>
      <c r="I17" s="46"/>
      <c r="J17" s="180"/>
      <c r="K17" s="194"/>
      <c r="L17" s="20"/>
      <c r="M17" s="20"/>
      <c r="N17" s="180"/>
    </row>
    <row r="18" spans="1:16" s="21" customFormat="1" ht="18.5" x14ac:dyDescent="0.45">
      <c r="A18" s="72" t="str">
        <f>IF(F18&lt;&gt;"",(LARGE(A$7:A17,1)+1),"")</f>
        <v/>
      </c>
      <c r="B18" s="155"/>
      <c r="C18" s="135"/>
      <c r="D18" s="58"/>
      <c r="E18" s="46"/>
      <c r="F18" s="180"/>
      <c r="G18" s="57"/>
      <c r="H18" s="46"/>
      <c r="I18" s="46"/>
      <c r="J18" s="180"/>
      <c r="K18" s="194"/>
      <c r="L18" s="20"/>
      <c r="M18" s="20"/>
      <c r="N18" s="180"/>
    </row>
    <row r="19" spans="1:16" s="21" customFormat="1" ht="18.5" x14ac:dyDescent="0.45">
      <c r="A19" s="72">
        <f>IF(F19&lt;&gt;"",(LARGE(A$7:A18,1)+1),"")</f>
        <v>3</v>
      </c>
      <c r="B19" s="141" t="s">
        <v>252</v>
      </c>
      <c r="C19" s="135">
        <v>5</v>
      </c>
      <c r="D19" s="49" t="s">
        <v>10</v>
      </c>
      <c r="E19" s="46">
        <f>G19+H19+J19+I19</f>
        <v>0</v>
      </c>
      <c r="F19" s="180">
        <f>E19*C19</f>
        <v>0</v>
      </c>
      <c r="G19" s="46">
        <v>0</v>
      </c>
      <c r="H19" s="46">
        <v>0</v>
      </c>
      <c r="I19" s="46">
        <f>IF(D19=0," ",(G19)*(Details!$C$4+Details!$C$8))</f>
        <v>0</v>
      </c>
      <c r="J19" s="180">
        <f>IF(D19=0," ",(H19)*(Details!$C$6+Details!$C$8))</f>
        <v>0</v>
      </c>
      <c r="K19" s="57">
        <f>+G19*C19</f>
        <v>0</v>
      </c>
      <c r="L19" s="46">
        <f>+H19*C19</f>
        <v>0</v>
      </c>
      <c r="M19" s="46">
        <f>IF(D19=0," ",(I19*C19))</f>
        <v>0</v>
      </c>
      <c r="N19" s="180">
        <f>IF(D19=0," ",(J19*C19))</f>
        <v>0</v>
      </c>
    </row>
    <row r="20" spans="1:16" s="21" customFormat="1" ht="18.5" x14ac:dyDescent="0.45">
      <c r="A20" s="72" t="str">
        <f>IF(F20&lt;&gt;"",(LARGE(A$7:A19,1)+1),"")</f>
        <v/>
      </c>
      <c r="B20" s="141"/>
      <c r="C20" s="135"/>
      <c r="D20" s="58"/>
      <c r="E20" s="46"/>
      <c r="F20" s="180"/>
      <c r="G20" s="57"/>
      <c r="H20" s="46"/>
      <c r="I20" s="46"/>
      <c r="J20" s="180"/>
      <c r="K20" s="194"/>
      <c r="L20" s="20"/>
      <c r="M20" s="20"/>
      <c r="N20" s="180"/>
    </row>
    <row r="21" spans="1:16" s="21" customFormat="1" ht="18.5" x14ac:dyDescent="0.45">
      <c r="A21" s="72" t="str">
        <f>IF(F21&lt;&gt;"",(LARGE(A$7:A20,1)+1),"")</f>
        <v/>
      </c>
      <c r="B21" s="141"/>
      <c r="C21" s="50"/>
      <c r="D21" s="49"/>
      <c r="E21" s="46"/>
      <c r="F21" s="180"/>
      <c r="G21" s="57"/>
      <c r="H21" s="46"/>
      <c r="I21" s="46"/>
      <c r="J21" s="180"/>
      <c r="K21" s="194"/>
      <c r="L21" s="20"/>
      <c r="M21" s="20"/>
      <c r="N21" s="180"/>
      <c r="P21" s="70" t="s">
        <v>106</v>
      </c>
    </row>
    <row r="22" spans="1:16" s="21" customFormat="1" ht="19" thickBot="1" x14ac:dyDescent="0.5">
      <c r="A22" s="72"/>
      <c r="B22" s="149"/>
      <c r="C22" s="50"/>
      <c r="D22" s="58"/>
      <c r="E22" s="60" t="s">
        <v>80</v>
      </c>
      <c r="F22" s="181">
        <f>SUM(F1:F21)</f>
        <v>0</v>
      </c>
      <c r="G22" s="57"/>
      <c r="H22" s="46"/>
      <c r="I22" s="46"/>
      <c r="J22" s="180" t="str">
        <f>IF(D22=0," ",(G22+H22)*(Details!$C$4+Details!$C$6))</f>
        <v xml:space="preserve"> </v>
      </c>
      <c r="K22" s="225">
        <f>SUM(K1:K21)</f>
        <v>0</v>
      </c>
      <c r="L22" s="226">
        <f>SUM(L1:L21)</f>
        <v>0</v>
      </c>
      <c r="M22" s="226">
        <f>SUM(M1:M21)</f>
        <v>0</v>
      </c>
      <c r="N22" s="181">
        <f>SUM(N1:N21)</f>
        <v>0</v>
      </c>
      <c r="O22" s="53"/>
      <c r="P22" s="70">
        <f>+F22-K22-L22-N22-M22</f>
        <v>0</v>
      </c>
    </row>
    <row r="23" spans="1:16" s="21" customFormat="1" ht="19.5" thickTop="1" thickBot="1" x14ac:dyDescent="0.5">
      <c r="A23" s="150" t="str">
        <f>IF(F23&lt;&gt;"",(LARGE(A$7:A22,1)+1),"")</f>
        <v/>
      </c>
      <c r="B23" s="151"/>
      <c r="C23" s="152"/>
      <c r="D23" s="61"/>
      <c r="E23" s="63"/>
      <c r="F23" s="65"/>
      <c r="G23" s="64"/>
      <c r="H23" s="63"/>
      <c r="I23" s="63"/>
      <c r="J23" s="65" t="str">
        <f>IF(D23=0," ",(G23+H23)*(Details!$C$4+Details!$C$6))</f>
        <v xml:space="preserve"> </v>
      </c>
      <c r="K23" s="207"/>
      <c r="L23" s="207"/>
      <c r="M23" s="207"/>
      <c r="N23" s="175"/>
      <c r="O23" s="53"/>
    </row>
    <row r="24" spans="1:16" x14ac:dyDescent="0.35">
      <c r="J24" s="16"/>
    </row>
    <row r="25" spans="1:16" x14ac:dyDescent="0.35">
      <c r="J25" s="16"/>
    </row>
  </sheetData>
  <mergeCells count="2">
    <mergeCell ref="G5:J5"/>
    <mergeCell ref="K5:N5"/>
  </mergeCells>
  <conditionalFormatting sqref="G8:G14 G16:G10518">
    <cfRule type="notContainsBlanks" dxfId="42" priority="3">
      <formula>LEN(TRIM(G8))&gt;0</formula>
    </cfRule>
  </conditionalFormatting>
  <conditionalFormatting sqref="H11 H20:I10518">
    <cfRule type="notContainsBlanks" dxfId="41" priority="8">
      <formula>LEN(TRIM(H11))&gt;0</formula>
    </cfRule>
  </conditionalFormatting>
  <conditionalFormatting sqref="H19">
    <cfRule type="notContainsBlanks" dxfId="40" priority="6">
      <formula>LEN(TRIM(H19))&gt;0</formula>
    </cfRule>
  </conditionalFormatting>
  <conditionalFormatting sqref="H8:I10 H12:I14 H16:I18">
    <cfRule type="notContainsBlanks" dxfId="39" priority="13">
      <formula>LEN(TRIM(H8))&gt;0</formula>
    </cfRule>
  </conditionalFormatting>
  <conditionalFormatting sqref="P22">
    <cfRule type="cellIs" dxfId="38" priority="9" operator="equal">
      <formula>0</formula>
    </cfRule>
    <cfRule type="cellIs" dxfId="37" priority="10" operator="notBetween">
      <formula>-0.01</formula>
      <formula>0.01</formula>
    </cfRule>
  </conditionalFormatting>
  <conditionalFormatting sqref="G15">
    <cfRule type="notContainsBlanks" dxfId="36" priority="1">
      <formula>LEN(TRIM(G15))&gt;0</formula>
    </cfRule>
  </conditionalFormatting>
  <conditionalFormatting sqref="H15">
    <cfRule type="notContainsBlanks" dxfId="35" priority="2">
      <formula>LEN(TRIM(H15))&gt;0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P46"/>
  <sheetViews>
    <sheetView zoomScale="84" zoomScaleNormal="84" workbookViewId="0">
      <selection activeCell="N44" sqref="N4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6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7"/>
      <c r="B1" s="23"/>
      <c r="C1" s="28"/>
      <c r="D1" s="24"/>
      <c r="E1" s="31"/>
      <c r="F1" s="32"/>
      <c r="G1" s="78"/>
      <c r="H1" s="31"/>
      <c r="I1" s="31"/>
      <c r="J1" s="24"/>
    </row>
    <row r="2" spans="1:14" x14ac:dyDescent="0.35">
      <c r="A2" s="15"/>
      <c r="B2" s="3" t="str">
        <f>+'Qual, Excl &amp; Assum'!B2</f>
        <v>PROJECT:EXTERNAL AND INTERNAL REFURBISHMENT OF EXISTING APARTMENTS</v>
      </c>
      <c r="F2" s="33"/>
      <c r="G2" s="70"/>
      <c r="J2" s="16"/>
    </row>
    <row r="3" spans="1:14" x14ac:dyDescent="0.35">
      <c r="A3" s="15"/>
      <c r="B3" s="51" t="str">
        <f>+'Qual, Excl &amp; Assum'!B3</f>
        <v>DATE: 29TH OCTOBER 2025</v>
      </c>
      <c r="F3" s="33"/>
      <c r="G3" s="70"/>
      <c r="J3" s="16"/>
    </row>
    <row r="4" spans="1:14" s="21" customFormat="1" ht="16" thickBot="1" x14ac:dyDescent="0.4">
      <c r="A4" s="15"/>
      <c r="B4" s="22"/>
      <c r="C4" s="26"/>
      <c r="E4" s="34"/>
      <c r="F4" s="35"/>
      <c r="G4" s="79"/>
      <c r="H4" s="34"/>
      <c r="I4" s="34"/>
      <c r="K4" s="20"/>
      <c r="L4" s="20"/>
      <c r="M4" s="20"/>
    </row>
    <row r="5" spans="1:14" s="21" customFormat="1" ht="38.25" customHeight="1" thickBot="1" x14ac:dyDescent="0.4">
      <c r="A5" s="186"/>
      <c r="B5" s="187" t="s">
        <v>16</v>
      </c>
      <c r="C5" s="191"/>
      <c r="D5" s="189"/>
      <c r="E5" s="190"/>
      <c r="F5" s="196"/>
      <c r="G5" s="344" t="s">
        <v>102</v>
      </c>
      <c r="H5" s="344"/>
      <c r="I5" s="344"/>
      <c r="J5" s="345"/>
      <c r="K5" s="343" t="s">
        <v>103</v>
      </c>
      <c r="L5" s="344"/>
      <c r="M5" s="344"/>
      <c r="N5" s="345"/>
    </row>
    <row r="6" spans="1:14" s="21" customFormat="1" ht="18.5" x14ac:dyDescent="0.45">
      <c r="A6" s="47"/>
      <c r="B6" s="36"/>
      <c r="C6" s="50"/>
      <c r="D6" s="36"/>
      <c r="E6" s="62"/>
      <c r="F6" s="178"/>
      <c r="G6" s="229"/>
      <c r="H6" s="62"/>
      <c r="I6" s="62"/>
      <c r="J6" s="183"/>
      <c r="K6" s="194"/>
      <c r="L6" s="20"/>
      <c r="M6" s="20"/>
      <c r="N6" s="25"/>
    </row>
    <row r="7" spans="1:14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4" s="21" customFormat="1" ht="18.5" x14ac:dyDescent="0.45">
      <c r="A8" s="47"/>
      <c r="B8" s="147"/>
      <c r="C8" s="138"/>
      <c r="D8" s="59"/>
      <c r="E8" s="60"/>
      <c r="F8" s="179"/>
      <c r="G8" s="57"/>
      <c r="H8" s="46"/>
      <c r="I8" s="46"/>
      <c r="J8" s="184"/>
      <c r="K8" s="80"/>
      <c r="L8" s="20"/>
      <c r="M8" s="20"/>
      <c r="N8" s="180" t="str">
        <f t="shared" ref="N8" si="0">IF(D8=0," ",(J8*C8))</f>
        <v xml:space="preserve"> </v>
      </c>
    </row>
    <row r="9" spans="1:14" s="21" customFormat="1" ht="18.5" x14ac:dyDescent="0.45">
      <c r="A9" s="47"/>
      <c r="B9" s="155" t="s">
        <v>37</v>
      </c>
      <c r="C9" s="135"/>
      <c r="D9" s="58"/>
      <c r="E9" s="46"/>
      <c r="F9" s="180"/>
      <c r="G9" s="57"/>
      <c r="H9" s="46"/>
      <c r="I9" s="46"/>
      <c r="J9" s="180"/>
      <c r="K9" s="213"/>
      <c r="L9" s="20"/>
      <c r="M9" s="20"/>
      <c r="N9" s="180"/>
    </row>
    <row r="10" spans="1:14" s="21" customFormat="1" ht="18" customHeight="1" x14ac:dyDescent="0.45">
      <c r="A10" s="47">
        <v>1</v>
      </c>
      <c r="B10" s="141" t="s">
        <v>214</v>
      </c>
      <c r="C10" s="135">
        <v>19</v>
      </c>
      <c r="D10" s="58" t="s">
        <v>10</v>
      </c>
      <c r="E10" s="46">
        <f>G10+H10+J10+I10</f>
        <v>0</v>
      </c>
      <c r="F10" s="180">
        <f>E10*C10</f>
        <v>0</v>
      </c>
      <c r="G10" s="46">
        <v>0</v>
      </c>
      <c r="H10" s="46">
        <v>0</v>
      </c>
      <c r="I10" s="46">
        <f>IF(D10=0," ",(G10)*(Details!$C$4+Details!$C$8))</f>
        <v>0</v>
      </c>
      <c r="J10" s="180">
        <f>IF(D10=0," ",(H10)*(Details!$C$6+Details!$C$8))</f>
        <v>0</v>
      </c>
      <c r="K10" s="57">
        <f>+G10*C10</f>
        <v>0</v>
      </c>
      <c r="L10" s="46">
        <f>+H10*C10</f>
        <v>0</v>
      </c>
      <c r="M10" s="46">
        <f>IF(D10=0," ",(I10*C10))</f>
        <v>0</v>
      </c>
      <c r="N10" s="180">
        <f>IF(D10=0," ",(J10*C10))</f>
        <v>0</v>
      </c>
    </row>
    <row r="11" spans="1:14" s="21" customFormat="1" ht="18" customHeight="1" x14ac:dyDescent="0.45">
      <c r="A11" s="47"/>
      <c r="B11" s="155"/>
      <c r="C11" s="135"/>
      <c r="D11" s="58"/>
      <c r="E11" s="46"/>
      <c r="F11" s="180"/>
      <c r="G11" s="46"/>
      <c r="H11" s="46"/>
      <c r="I11" s="46"/>
      <c r="J11" s="180"/>
      <c r="K11" s="77"/>
      <c r="L11" s="93"/>
      <c r="M11" s="93"/>
      <c r="N11" s="180"/>
    </row>
    <row r="12" spans="1:14" s="21" customFormat="1" ht="18.5" x14ac:dyDescent="0.45">
      <c r="A12" s="72">
        <f>IF(F12&lt;&gt;"",(LARGE(A$7:A10,1)+1),"")</f>
        <v>2</v>
      </c>
      <c r="B12" s="141" t="s">
        <v>200</v>
      </c>
      <c r="C12" s="135">
        <v>8</v>
      </c>
      <c r="D12" s="49" t="s">
        <v>12</v>
      </c>
      <c r="E12" s="46">
        <f t="shared" ref="E12:E14" si="1">G12+H12+J12+I12</f>
        <v>0</v>
      </c>
      <c r="F12" s="180">
        <f t="shared" ref="F12:F14" si="2">E12*C12</f>
        <v>0</v>
      </c>
      <c r="G12" s="46">
        <v>0</v>
      </c>
      <c r="H12" s="46">
        <v>0</v>
      </c>
      <c r="I12" s="46">
        <f>IF(D12=0," ",(G12)*(Details!$C$4+Details!$C$8))</f>
        <v>0</v>
      </c>
      <c r="J12" s="180">
        <f>IF(D12=0," ",(H12)*(Details!$C$6+Details!$C$8))</f>
        <v>0</v>
      </c>
      <c r="K12" s="57">
        <f t="shared" ref="K12:K14" si="3">+G12*C12</f>
        <v>0</v>
      </c>
      <c r="L12" s="46">
        <f t="shared" ref="L12:L14" si="4">+H12*C12</f>
        <v>0</v>
      </c>
      <c r="M12" s="46">
        <f t="shared" ref="M12:M14" si="5">IF(D12=0," ",(I12*C12))</f>
        <v>0</v>
      </c>
      <c r="N12" s="180">
        <f t="shared" ref="N12:N14" si="6">IF(D12=0," ",(J12*C12))</f>
        <v>0</v>
      </c>
    </row>
    <row r="13" spans="1:14" s="21" customFormat="1" ht="18.5" x14ac:dyDescent="0.45">
      <c r="A13" s="72" t="str">
        <f>IF(F13&lt;&gt;"",(LARGE(A$7:A11,1)+1),"")</f>
        <v/>
      </c>
      <c r="B13" s="141"/>
      <c r="C13" s="135"/>
      <c r="D13" s="49"/>
      <c r="E13" s="46"/>
      <c r="F13" s="180"/>
      <c r="G13" s="46"/>
      <c r="H13" s="46"/>
      <c r="I13" s="46"/>
      <c r="J13" s="180"/>
      <c r="K13" s="57"/>
      <c r="L13" s="46"/>
      <c r="M13" s="46"/>
      <c r="N13" s="180"/>
    </row>
    <row r="14" spans="1:14" s="21" customFormat="1" ht="18.5" x14ac:dyDescent="0.45">
      <c r="A14" s="72">
        <f>IF(F14&lt;&gt;"",(LARGE(A$7:A12,1)+1),"")</f>
        <v>3</v>
      </c>
      <c r="B14" s="141" t="s">
        <v>201</v>
      </c>
      <c r="C14" s="135">
        <v>8</v>
      </c>
      <c r="D14" s="49" t="s">
        <v>12</v>
      </c>
      <c r="E14" s="46">
        <f t="shared" si="1"/>
        <v>0</v>
      </c>
      <c r="F14" s="180">
        <f t="shared" si="2"/>
        <v>0</v>
      </c>
      <c r="G14" s="46">
        <v>0</v>
      </c>
      <c r="H14" s="46">
        <v>0</v>
      </c>
      <c r="I14" s="46">
        <f>IF(D14=0," ",(G14)*(Details!$C$4+Details!$C$8))</f>
        <v>0</v>
      </c>
      <c r="J14" s="180">
        <f>IF(D14=0," ",(H14)*(Details!$C$6+Details!$C$8))</f>
        <v>0</v>
      </c>
      <c r="K14" s="57">
        <f t="shared" si="3"/>
        <v>0</v>
      </c>
      <c r="L14" s="46">
        <f t="shared" si="4"/>
        <v>0</v>
      </c>
      <c r="M14" s="46">
        <f t="shared" si="5"/>
        <v>0</v>
      </c>
      <c r="N14" s="180">
        <f t="shared" si="6"/>
        <v>0</v>
      </c>
    </row>
    <row r="15" spans="1:14" s="21" customFormat="1" ht="18.5" x14ac:dyDescent="0.45">
      <c r="A15" s="72" t="str">
        <f>IF(F15&lt;&gt;"",(LARGE(A$7:A13,1)+1),"")</f>
        <v/>
      </c>
      <c r="B15" s="141"/>
      <c r="C15" s="135"/>
      <c r="D15" s="58"/>
      <c r="E15" s="46"/>
      <c r="F15" s="180"/>
      <c r="G15" s="57"/>
      <c r="H15" s="46"/>
      <c r="I15" s="46"/>
      <c r="J15" s="180"/>
      <c r="K15" s="77"/>
      <c r="L15" s="93"/>
      <c r="M15" s="93"/>
      <c r="N15" s="180"/>
    </row>
    <row r="16" spans="1:14" s="36" customFormat="1" ht="18.5" x14ac:dyDescent="0.45">
      <c r="A16" s="72" t="str">
        <f>IF(F16&lt;&gt;"",(LARGE(A$7:A14,1)+1),"")</f>
        <v/>
      </c>
      <c r="B16" s="155" t="s">
        <v>60</v>
      </c>
      <c r="C16" s="135"/>
      <c r="D16" s="58"/>
      <c r="E16" s="46"/>
      <c r="F16" s="180"/>
      <c r="G16" s="46"/>
      <c r="H16" s="46"/>
      <c r="I16" s="46"/>
      <c r="J16" s="180"/>
      <c r="K16" s="57"/>
      <c r="L16" s="46"/>
      <c r="M16" s="46"/>
      <c r="N16" s="180"/>
    </row>
    <row r="17" spans="1:14" s="36" customFormat="1" ht="18.5" x14ac:dyDescent="0.45">
      <c r="A17" s="72" t="str">
        <f>IF(F17&lt;&gt;"",(LARGE(A$7:A15,1)+1),"")</f>
        <v/>
      </c>
      <c r="B17" s="155"/>
      <c r="C17" s="135"/>
      <c r="D17" s="58"/>
      <c r="E17" s="46"/>
      <c r="F17" s="180"/>
      <c r="G17" s="46"/>
      <c r="H17" s="46"/>
      <c r="I17" s="46"/>
      <c r="J17" s="180"/>
      <c r="K17" s="57"/>
      <c r="L17" s="46"/>
      <c r="M17" s="46"/>
      <c r="N17" s="180"/>
    </row>
    <row r="18" spans="1:14" s="36" customFormat="1" ht="18.5" x14ac:dyDescent="0.45">
      <c r="A18" s="72" t="str">
        <f>IF(F18&lt;&gt;"",(LARGE(A$7:A16,1)+1),"")</f>
        <v/>
      </c>
      <c r="B18" s="155" t="s">
        <v>206</v>
      </c>
      <c r="C18" s="135"/>
      <c r="D18" s="58"/>
      <c r="E18" s="46"/>
      <c r="F18" s="180"/>
      <c r="G18" s="46"/>
      <c r="H18" s="46"/>
      <c r="I18" s="46"/>
      <c r="J18" s="180"/>
      <c r="K18" s="57"/>
      <c r="L18" s="46"/>
      <c r="M18" s="46"/>
      <c r="N18" s="180"/>
    </row>
    <row r="19" spans="1:14" s="36" customFormat="1" ht="18.5" x14ac:dyDescent="0.45">
      <c r="A19" s="72">
        <f>IF(F19&lt;&gt;"",(LARGE(A$7:A17,1)+1),"")</f>
        <v>4</v>
      </c>
      <c r="B19" s="141" t="s">
        <v>207</v>
      </c>
      <c r="C19" s="135">
        <v>8</v>
      </c>
      <c r="D19" s="49" t="s">
        <v>12</v>
      </c>
      <c r="E19" s="46">
        <f t="shared" ref="E19" si="7">G19+H19+J19+I19</f>
        <v>0</v>
      </c>
      <c r="F19" s="180">
        <f t="shared" ref="F19" si="8">E19*C19</f>
        <v>0</v>
      </c>
      <c r="G19" s="46">
        <v>0</v>
      </c>
      <c r="H19" s="46">
        <v>0</v>
      </c>
      <c r="I19" s="46">
        <f>IF(D19=0," ",(G19)*(Details!$C$4+Details!$C$8))</f>
        <v>0</v>
      </c>
      <c r="J19" s="180">
        <f>IF(D19=0," ",(H19)*(Details!$C$6+Details!$C$8))</f>
        <v>0</v>
      </c>
      <c r="K19" s="57">
        <f t="shared" ref="K19" si="9">+G19*C19</f>
        <v>0</v>
      </c>
      <c r="L19" s="46">
        <f t="shared" ref="L19" si="10">+H19*C19</f>
        <v>0</v>
      </c>
      <c r="M19" s="46">
        <f t="shared" ref="M19" si="11">IF(D19=0," ",(I19*C19))</f>
        <v>0</v>
      </c>
      <c r="N19" s="180">
        <f t="shared" ref="N19" si="12">IF(D19=0," ",(J19*C19))</f>
        <v>0</v>
      </c>
    </row>
    <row r="20" spans="1:14" s="36" customFormat="1" ht="18.5" x14ac:dyDescent="0.45">
      <c r="A20" s="72" t="str">
        <f>IF(F20&lt;&gt;"",(LARGE(A$7:A18,1)+1),"")</f>
        <v/>
      </c>
      <c r="B20" s="155"/>
      <c r="C20" s="135"/>
      <c r="D20" s="58"/>
      <c r="E20" s="46"/>
      <c r="F20" s="180"/>
      <c r="G20" s="46"/>
      <c r="H20" s="46"/>
      <c r="I20" s="46"/>
      <c r="J20" s="180"/>
      <c r="K20" s="57"/>
      <c r="L20" s="46"/>
      <c r="M20" s="46"/>
      <c r="N20" s="180"/>
    </row>
    <row r="21" spans="1:14" s="36" customFormat="1" ht="18.5" x14ac:dyDescent="0.45">
      <c r="A21" s="72">
        <f>IF(F21&lt;&gt;"",(LARGE(A$7:A19,1)+1),"")</f>
        <v>5</v>
      </c>
      <c r="B21" s="141" t="s">
        <v>208</v>
      </c>
      <c r="C21" s="135">
        <v>8</v>
      </c>
      <c r="D21" s="49" t="s">
        <v>12</v>
      </c>
      <c r="E21" s="46">
        <f t="shared" ref="E21" si="13">G21+H21+J21+I21</f>
        <v>0</v>
      </c>
      <c r="F21" s="180">
        <f t="shared" ref="F21" si="14">E21*C21</f>
        <v>0</v>
      </c>
      <c r="G21" s="46">
        <v>0</v>
      </c>
      <c r="H21" s="46">
        <v>0</v>
      </c>
      <c r="I21" s="46">
        <f>IF(D21=0," ",(G21)*(Details!$C$4+Details!$C$8))</f>
        <v>0</v>
      </c>
      <c r="J21" s="180">
        <f>IF(D21=0," ",(H21)*(Details!$C$6+Details!$C$8))</f>
        <v>0</v>
      </c>
      <c r="K21" s="57">
        <f t="shared" ref="K21" si="15">+G21*C21</f>
        <v>0</v>
      </c>
      <c r="L21" s="46">
        <f t="shared" ref="L21" si="16">+H21*C21</f>
        <v>0</v>
      </c>
      <c r="M21" s="46">
        <f t="shared" ref="M21" si="17">IF(D21=0," ",(I21*C21))</f>
        <v>0</v>
      </c>
      <c r="N21" s="180">
        <f t="shared" ref="N21" si="18">IF(D21=0," ",(J21*C21))</f>
        <v>0</v>
      </c>
    </row>
    <row r="22" spans="1:14" s="36" customFormat="1" ht="18.5" x14ac:dyDescent="0.45">
      <c r="A22" s="72" t="str">
        <f>IF(F22&lt;&gt;"",(LARGE(A$7:A20,1)+1),"")</f>
        <v/>
      </c>
      <c r="B22" s="155"/>
      <c r="C22" s="135"/>
      <c r="D22" s="58"/>
      <c r="E22" s="46"/>
      <c r="F22" s="180"/>
      <c r="G22" s="46"/>
      <c r="H22" s="46"/>
      <c r="I22" s="46"/>
      <c r="J22" s="180"/>
      <c r="K22" s="57"/>
      <c r="L22" s="46"/>
      <c r="M22" s="46"/>
      <c r="N22" s="180"/>
    </row>
    <row r="23" spans="1:14" s="36" customFormat="1" ht="18.5" x14ac:dyDescent="0.45">
      <c r="A23" s="72">
        <f>IF(F23&lt;&gt;"",(LARGE(A$7:A21,1)+1),"")</f>
        <v>6</v>
      </c>
      <c r="B23" s="141" t="s">
        <v>209</v>
      </c>
      <c r="C23" s="135">
        <v>8</v>
      </c>
      <c r="D23" s="49" t="s">
        <v>12</v>
      </c>
      <c r="E23" s="46">
        <f t="shared" ref="E23" si="19">G23+H23+J23+I23</f>
        <v>0</v>
      </c>
      <c r="F23" s="180">
        <f t="shared" ref="F23" si="20">E23*C23</f>
        <v>0</v>
      </c>
      <c r="G23" s="46">
        <v>0</v>
      </c>
      <c r="H23" s="46">
        <v>0</v>
      </c>
      <c r="I23" s="46">
        <f>IF(D23=0," ",(G23)*(Details!$C$4+Details!$C$8))</f>
        <v>0</v>
      </c>
      <c r="J23" s="180">
        <f>IF(D23=0," ",(H23)*(Details!$C$6+Details!$C$8))</f>
        <v>0</v>
      </c>
      <c r="K23" s="57">
        <f t="shared" ref="K23" si="21">+G23*C23</f>
        <v>0</v>
      </c>
      <c r="L23" s="46">
        <f t="shared" ref="L23" si="22">+H23*C23</f>
        <v>0</v>
      </c>
      <c r="M23" s="46">
        <f t="shared" ref="M23" si="23">IF(D23=0," ",(I23*C23))</f>
        <v>0</v>
      </c>
      <c r="N23" s="180">
        <f t="shared" ref="N23" si="24">IF(D23=0," ",(J23*C23))</f>
        <v>0</v>
      </c>
    </row>
    <row r="24" spans="1:14" s="36" customFormat="1" ht="18.5" x14ac:dyDescent="0.45">
      <c r="A24" s="72" t="str">
        <f>IF(F24&lt;&gt;"",(LARGE(A$7:A22,1)+1),"")</f>
        <v/>
      </c>
      <c r="B24" s="155"/>
      <c r="C24" s="135"/>
      <c r="D24" s="58"/>
      <c r="E24" s="46"/>
      <c r="F24" s="180"/>
      <c r="G24" s="46"/>
      <c r="H24" s="46"/>
      <c r="I24" s="46"/>
      <c r="J24" s="180"/>
      <c r="K24" s="57"/>
      <c r="L24" s="46"/>
      <c r="M24" s="46"/>
      <c r="N24" s="180"/>
    </row>
    <row r="25" spans="1:14" s="36" customFormat="1" ht="18.5" x14ac:dyDescent="0.45">
      <c r="A25" s="72">
        <f>IF(F25&lt;&gt;"",(LARGE(A$7:A23,1)+1),"")</f>
        <v>7</v>
      </c>
      <c r="B25" s="141" t="s">
        <v>210</v>
      </c>
      <c r="C25" s="135">
        <v>8</v>
      </c>
      <c r="D25" s="49" t="s">
        <v>12</v>
      </c>
      <c r="E25" s="46">
        <f t="shared" ref="E25" si="25">G25+H25+J25+I25</f>
        <v>0</v>
      </c>
      <c r="F25" s="180">
        <f t="shared" ref="F25" si="26">E25*C25</f>
        <v>0</v>
      </c>
      <c r="G25" s="46">
        <v>0</v>
      </c>
      <c r="H25" s="46">
        <v>0</v>
      </c>
      <c r="I25" s="46">
        <f>IF(D25=0," ",(G25)*(Details!$C$4+Details!$C$8))</f>
        <v>0</v>
      </c>
      <c r="J25" s="180">
        <f>IF(D25=0," ",(H25)*(Details!$C$6+Details!$C$8))</f>
        <v>0</v>
      </c>
      <c r="K25" s="57">
        <f t="shared" ref="K25" si="27">+G25*C25</f>
        <v>0</v>
      </c>
      <c r="L25" s="46">
        <f t="shared" ref="L25" si="28">+H25*C25</f>
        <v>0</v>
      </c>
      <c r="M25" s="46">
        <f t="shared" ref="M25" si="29">IF(D25=0," ",(I25*C25))</f>
        <v>0</v>
      </c>
      <c r="N25" s="180">
        <f t="shared" ref="N25" si="30">IF(D25=0," ",(J25*C25))</f>
        <v>0</v>
      </c>
    </row>
    <row r="26" spans="1:14" s="36" customFormat="1" ht="18.5" x14ac:dyDescent="0.45">
      <c r="A26" s="72" t="str">
        <f>IF(F26&lt;&gt;"",(LARGE(A$7:A24,1)+1),"")</f>
        <v/>
      </c>
      <c r="B26" s="155"/>
      <c r="C26" s="135"/>
      <c r="D26" s="58"/>
      <c r="E26" s="46"/>
      <c r="F26" s="180"/>
      <c r="G26" s="46"/>
      <c r="H26" s="46"/>
      <c r="I26" s="46"/>
      <c r="J26" s="180"/>
      <c r="K26" s="57"/>
      <c r="L26" s="46"/>
      <c r="M26" s="46"/>
      <c r="N26" s="180"/>
    </row>
    <row r="27" spans="1:14" s="36" customFormat="1" ht="18.5" x14ac:dyDescent="0.45">
      <c r="A27" s="72">
        <f>IF(F27&lt;&gt;"",(LARGE(A$7:A25,1)+1),"")</f>
        <v>8</v>
      </c>
      <c r="B27" s="141" t="s">
        <v>211</v>
      </c>
      <c r="C27" s="135">
        <v>8</v>
      </c>
      <c r="D27" s="49" t="s">
        <v>12</v>
      </c>
      <c r="E27" s="46">
        <f t="shared" ref="E27" si="31">G27+H27+J27+I27</f>
        <v>0</v>
      </c>
      <c r="F27" s="180">
        <f t="shared" ref="F27" si="32">E27*C27</f>
        <v>0</v>
      </c>
      <c r="G27" s="46">
        <v>0</v>
      </c>
      <c r="H27" s="46">
        <v>0</v>
      </c>
      <c r="I27" s="46">
        <f>IF(D27=0," ",(G27)*(Details!$C$4+Details!$C$8))</f>
        <v>0</v>
      </c>
      <c r="J27" s="180">
        <f>IF(D27=0," ",(H27)*(Details!$C$6+Details!$C$8))</f>
        <v>0</v>
      </c>
      <c r="K27" s="57">
        <f t="shared" ref="K27" si="33">+G27*C27</f>
        <v>0</v>
      </c>
      <c r="L27" s="46">
        <f t="shared" ref="L27" si="34">+H27*C27</f>
        <v>0</v>
      </c>
      <c r="M27" s="46">
        <f t="shared" ref="M27" si="35">IF(D27=0," ",(I27*C27))</f>
        <v>0</v>
      </c>
      <c r="N27" s="180">
        <f t="shared" ref="N27" si="36">IF(D27=0," ",(J27*C27))</f>
        <v>0</v>
      </c>
    </row>
    <row r="28" spans="1:14" s="36" customFormat="1" ht="18.5" x14ac:dyDescent="0.45">
      <c r="A28" s="72" t="str">
        <f>IF(F28&lt;&gt;"",(LARGE(A$7:A26,1)+1),"")</f>
        <v/>
      </c>
      <c r="B28" s="155"/>
      <c r="C28" s="135"/>
      <c r="D28" s="58"/>
      <c r="E28" s="46"/>
      <c r="F28" s="180"/>
      <c r="G28" s="46"/>
      <c r="H28" s="46"/>
      <c r="I28" s="46"/>
      <c r="J28" s="180"/>
      <c r="K28" s="57"/>
      <c r="L28" s="46"/>
      <c r="M28" s="46"/>
      <c r="N28" s="180"/>
    </row>
    <row r="29" spans="1:14" s="36" customFormat="1" ht="18.5" x14ac:dyDescent="0.45">
      <c r="A29" s="72">
        <f>IF(F29&lt;&gt;"",(LARGE(A$7:A27,1)+1),"")</f>
        <v>9</v>
      </c>
      <c r="B29" s="141" t="s">
        <v>212</v>
      </c>
      <c r="C29" s="135">
        <v>8</v>
      </c>
      <c r="D29" s="49" t="s">
        <v>12</v>
      </c>
      <c r="E29" s="46">
        <f t="shared" ref="E29" si="37">G29+H29+J29+I29</f>
        <v>0</v>
      </c>
      <c r="F29" s="180">
        <f t="shared" ref="F29" si="38">E29*C29</f>
        <v>0</v>
      </c>
      <c r="G29" s="46">
        <v>0</v>
      </c>
      <c r="H29" s="46">
        <v>0</v>
      </c>
      <c r="I29" s="46">
        <f>IF(D29=0," ",(G29)*(Details!$C$4+Details!$C$8))</f>
        <v>0</v>
      </c>
      <c r="J29" s="180">
        <f>IF(D29=0," ",(H29)*(Details!$C$6+Details!$C$8))</f>
        <v>0</v>
      </c>
      <c r="K29" s="57">
        <f t="shared" ref="K29" si="39">+G29*C29</f>
        <v>0</v>
      </c>
      <c r="L29" s="46">
        <f t="shared" ref="L29" si="40">+H29*C29</f>
        <v>0</v>
      </c>
      <c r="M29" s="46">
        <f t="shared" ref="M29" si="41">IF(D29=0," ",(I29*C29))</f>
        <v>0</v>
      </c>
      <c r="N29" s="180">
        <f t="shared" ref="N29" si="42">IF(D29=0," ",(J29*C29))</f>
        <v>0</v>
      </c>
    </row>
    <row r="30" spans="1:14" s="36" customFormat="1" ht="18.5" x14ac:dyDescent="0.45">
      <c r="A30" s="72" t="str">
        <f>IF(F30&lt;&gt;"",(LARGE(A$7:A28,1)+1),"")</f>
        <v/>
      </c>
      <c r="B30" s="155"/>
      <c r="C30" s="135"/>
      <c r="D30" s="58"/>
      <c r="E30" s="46"/>
      <c r="F30" s="180"/>
      <c r="G30" s="46"/>
      <c r="H30" s="46"/>
      <c r="I30" s="46"/>
      <c r="J30" s="180"/>
      <c r="K30" s="57"/>
      <c r="L30" s="46"/>
      <c r="M30" s="46"/>
      <c r="N30" s="180"/>
    </row>
    <row r="31" spans="1:14" s="36" customFormat="1" ht="18.5" x14ac:dyDescent="0.45">
      <c r="A31" s="72">
        <f>IF(F31&lt;&gt;"",(LARGE(A$7:A29,1)+1),"")</f>
        <v>10</v>
      </c>
      <c r="B31" s="141" t="s">
        <v>213</v>
      </c>
      <c r="C31" s="135">
        <v>8</v>
      </c>
      <c r="D31" s="49" t="s">
        <v>12</v>
      </c>
      <c r="E31" s="46">
        <f t="shared" ref="E31" si="43">G31+H31+J31+I31</f>
        <v>0</v>
      </c>
      <c r="F31" s="180">
        <f t="shared" ref="F31" si="44">E31*C31</f>
        <v>0</v>
      </c>
      <c r="G31" s="46">
        <v>0</v>
      </c>
      <c r="H31" s="46">
        <v>0</v>
      </c>
      <c r="I31" s="46">
        <f>IF(D31=0," ",(G31)*(Details!$C$4+Details!$C$8))</f>
        <v>0</v>
      </c>
      <c r="J31" s="180">
        <f>IF(D31=0," ",(H31)*(Details!$C$6+Details!$C$8))</f>
        <v>0</v>
      </c>
      <c r="K31" s="57">
        <f t="shared" ref="K31" si="45">+G31*C31</f>
        <v>0</v>
      </c>
      <c r="L31" s="46">
        <f t="shared" ref="L31" si="46">+H31*C31</f>
        <v>0</v>
      </c>
      <c r="M31" s="46">
        <f t="shared" ref="M31" si="47">IF(D31=0," ",(I31*C31))</f>
        <v>0</v>
      </c>
      <c r="N31" s="180">
        <f t="shared" ref="N31" si="48">IF(D31=0," ",(J31*C31))</f>
        <v>0</v>
      </c>
    </row>
    <row r="32" spans="1:14" s="36" customFormat="1" ht="18.5" x14ac:dyDescent="0.45">
      <c r="A32" s="72" t="str">
        <f>IF(F32&lt;&gt;"",(LARGE(A$7:A30,1)+1),"")</f>
        <v/>
      </c>
      <c r="B32" s="155"/>
      <c r="C32" s="135"/>
      <c r="D32" s="58"/>
      <c r="E32" s="46"/>
      <c r="F32" s="180"/>
      <c r="G32" s="46"/>
      <c r="H32" s="46"/>
      <c r="I32" s="46"/>
      <c r="J32" s="180"/>
      <c r="K32" s="57"/>
      <c r="L32" s="46"/>
      <c r="M32" s="46"/>
      <c r="N32" s="180"/>
    </row>
    <row r="33" spans="1:16" s="36" customFormat="1" ht="18.5" x14ac:dyDescent="0.45">
      <c r="A33" s="72" t="str">
        <f>IF(F33&lt;&gt;"",(LARGE(A$7:A31,1)+1),"")</f>
        <v/>
      </c>
      <c r="B33" s="155" t="s">
        <v>178</v>
      </c>
      <c r="C33" s="135"/>
      <c r="D33" s="58"/>
      <c r="E33" s="46"/>
      <c r="F33" s="180"/>
      <c r="G33" s="46"/>
      <c r="H33" s="46"/>
      <c r="I33" s="46"/>
      <c r="J33" s="180"/>
      <c r="K33" s="57"/>
      <c r="L33" s="46"/>
      <c r="M33" s="46"/>
      <c r="N33" s="180"/>
    </row>
    <row r="34" spans="1:16" s="36" customFormat="1" ht="18.5" x14ac:dyDescent="0.45">
      <c r="A34" s="72">
        <f>IF(F34&lt;&gt;"",(LARGE(A$7:A32,1)+1),"")</f>
        <v>11</v>
      </c>
      <c r="B34" s="141" t="s">
        <v>202</v>
      </c>
      <c r="C34" s="135">
        <v>8</v>
      </c>
      <c r="D34" s="49" t="s">
        <v>12</v>
      </c>
      <c r="E34" s="46">
        <f>G34+H34+J34+I34</f>
        <v>0</v>
      </c>
      <c r="F34" s="180">
        <f>E34*C34</f>
        <v>0</v>
      </c>
      <c r="G34" s="46">
        <v>0</v>
      </c>
      <c r="H34" s="46">
        <v>0</v>
      </c>
      <c r="I34" s="46">
        <f>IF(D34=0," ",(G34)*(Details!$C$4+Details!$C$8))</f>
        <v>0</v>
      </c>
      <c r="J34" s="180">
        <f>IF(D34=0," ",(H34)*(Details!$C$6+Details!$C$8))</f>
        <v>0</v>
      </c>
      <c r="K34" s="57">
        <f>+G34*C34</f>
        <v>0</v>
      </c>
      <c r="L34" s="46">
        <f>+H34*C34</f>
        <v>0</v>
      </c>
      <c r="M34" s="46">
        <f>IF(D34=0," ",(I34*C34))</f>
        <v>0</v>
      </c>
      <c r="N34" s="180">
        <f>IF(D34=0," ",(J34*C34))</f>
        <v>0</v>
      </c>
    </row>
    <row r="35" spans="1:16" s="36" customFormat="1" ht="18.5" x14ac:dyDescent="0.45">
      <c r="A35" s="72" t="str">
        <f>IF(F35&lt;&gt;"",(LARGE(A$7:A33,1)+1),"")</f>
        <v/>
      </c>
      <c r="B35" s="141"/>
      <c r="C35" s="135"/>
      <c r="D35" s="58"/>
      <c r="E35" s="46"/>
      <c r="F35" s="180"/>
      <c r="G35" s="46"/>
      <c r="H35" s="46"/>
      <c r="I35" s="46"/>
      <c r="J35" s="180"/>
      <c r="K35" s="57"/>
      <c r="L35" s="46"/>
      <c r="M35" s="46"/>
      <c r="N35" s="180"/>
    </row>
    <row r="36" spans="1:16" s="36" customFormat="1" ht="18.5" x14ac:dyDescent="0.45">
      <c r="A36" s="72">
        <f>IF(F36&lt;&gt;"",(LARGE(A$7:A34,1)+1),"")</f>
        <v>12</v>
      </c>
      <c r="B36" s="141" t="s">
        <v>203</v>
      </c>
      <c r="C36" s="135">
        <v>8</v>
      </c>
      <c r="D36" s="49" t="s">
        <v>12</v>
      </c>
      <c r="E36" s="46">
        <f>G36+H36+J36+I36</f>
        <v>0</v>
      </c>
      <c r="F36" s="180">
        <f>E36*C36</f>
        <v>0</v>
      </c>
      <c r="G36" s="46">
        <v>0</v>
      </c>
      <c r="H36" s="46">
        <v>0</v>
      </c>
      <c r="I36" s="46">
        <f>IF(D36=0," ",(G36)*(Details!$C$4+Details!$C$8))</f>
        <v>0</v>
      </c>
      <c r="J36" s="180">
        <f>IF(D36=0," ",(H36)*(Details!$C$6+Details!$C$8))</f>
        <v>0</v>
      </c>
      <c r="K36" s="57">
        <f>+G36*C36</f>
        <v>0</v>
      </c>
      <c r="L36" s="46">
        <f>+H36*C36</f>
        <v>0</v>
      </c>
      <c r="M36" s="46">
        <f>IF(D36=0," ",(I36*C36))</f>
        <v>0</v>
      </c>
      <c r="N36" s="180">
        <f>IF(D36=0," ",(J36*C36))</f>
        <v>0</v>
      </c>
    </row>
    <row r="37" spans="1:16" s="36" customFormat="1" ht="18.5" x14ac:dyDescent="0.45">
      <c r="A37" s="72" t="str">
        <f>IF(F37&lt;&gt;"",(LARGE(A$7:A35,1)+1),"")</f>
        <v/>
      </c>
      <c r="B37" s="141"/>
      <c r="C37" s="135"/>
      <c r="D37" s="58"/>
      <c r="E37" s="46"/>
      <c r="F37" s="180"/>
      <c r="G37" s="46"/>
      <c r="H37" s="46"/>
      <c r="I37" s="46"/>
      <c r="J37" s="180"/>
      <c r="K37" s="57"/>
      <c r="L37" s="46"/>
      <c r="M37" s="46"/>
      <c r="N37" s="180"/>
    </row>
    <row r="38" spans="1:16" s="36" customFormat="1" ht="18.5" x14ac:dyDescent="0.45">
      <c r="A38" s="72">
        <f>IF(F38&lt;&gt;"",(LARGE(A$7:A36,1)+1),"")</f>
        <v>13</v>
      </c>
      <c r="B38" s="141" t="s">
        <v>204</v>
      </c>
      <c r="C38" s="135">
        <v>5</v>
      </c>
      <c r="D38" s="49" t="s">
        <v>12</v>
      </c>
      <c r="E38" s="46">
        <f>G38+H38+J38+I38</f>
        <v>0</v>
      </c>
      <c r="F38" s="180">
        <f>E38*C38</f>
        <v>0</v>
      </c>
      <c r="G38" s="46">
        <v>0</v>
      </c>
      <c r="H38" s="46">
        <v>0</v>
      </c>
      <c r="I38" s="46">
        <f>IF(D38=0," ",(G38)*(Details!$C$4+Details!$C$8))</f>
        <v>0</v>
      </c>
      <c r="J38" s="180">
        <f>IF(D38=0," ",(H38)*(Details!$C$6+Details!$C$8))</f>
        <v>0</v>
      </c>
      <c r="K38" s="57">
        <f>+G38*C38</f>
        <v>0</v>
      </c>
      <c r="L38" s="46">
        <f>+H38*C38</f>
        <v>0</v>
      </c>
      <c r="M38" s="46">
        <f>IF(D38=0," ",(I38*C38))</f>
        <v>0</v>
      </c>
      <c r="N38" s="180">
        <f>IF(D38=0," ",(J38*C38))</f>
        <v>0</v>
      </c>
    </row>
    <row r="39" spans="1:16" s="36" customFormat="1" ht="18.5" x14ac:dyDescent="0.45">
      <c r="A39" s="72" t="str">
        <f>IF(F39&lt;&gt;"",(LARGE(A$7:A37,1)+1),"")</f>
        <v/>
      </c>
      <c r="B39" s="141"/>
      <c r="C39" s="135"/>
      <c r="D39" s="58"/>
      <c r="E39" s="46"/>
      <c r="F39" s="180"/>
      <c r="G39" s="46"/>
      <c r="H39" s="46"/>
      <c r="I39" s="46"/>
      <c r="J39" s="180"/>
      <c r="K39" s="57"/>
      <c r="L39" s="46"/>
      <c r="M39" s="46"/>
      <c r="N39" s="180"/>
    </row>
    <row r="40" spans="1:16" s="36" customFormat="1" ht="18.5" x14ac:dyDescent="0.45">
      <c r="A40" s="72">
        <f>IF(F40&lt;&gt;"",(LARGE(A$7:A38,1)+1),"")</f>
        <v>14</v>
      </c>
      <c r="B40" s="141" t="s">
        <v>205</v>
      </c>
      <c r="C40" s="135">
        <v>3</v>
      </c>
      <c r="D40" s="49" t="s">
        <v>12</v>
      </c>
      <c r="E40" s="46">
        <f>G40+H40+J40+I40</f>
        <v>0</v>
      </c>
      <c r="F40" s="180">
        <f>E40*C40</f>
        <v>0</v>
      </c>
      <c r="G40" s="46">
        <v>0</v>
      </c>
      <c r="H40" s="46">
        <v>0</v>
      </c>
      <c r="I40" s="46">
        <f>IF(D40=0," ",(G40)*(Details!$C$4+Details!$C$8))</f>
        <v>0</v>
      </c>
      <c r="J40" s="180">
        <f>IF(D40=0," ",(H40)*(Details!$C$6+Details!$C$8))</f>
        <v>0</v>
      </c>
      <c r="K40" s="57">
        <f>+G40*C40</f>
        <v>0</v>
      </c>
      <c r="L40" s="46">
        <f>+H40*C40</f>
        <v>0</v>
      </c>
      <c r="M40" s="46">
        <f>IF(D40=0," ",(I40*C40))</f>
        <v>0</v>
      </c>
      <c r="N40" s="180">
        <f>IF(D40=0," ",(J40*C40))</f>
        <v>0</v>
      </c>
    </row>
    <row r="41" spans="1:16" s="36" customFormat="1" ht="18.5" x14ac:dyDescent="0.45">
      <c r="A41" s="72" t="str">
        <f>IF(F41&lt;&gt;"",(LARGE(A$7:A39,1)+1),"")</f>
        <v/>
      </c>
      <c r="B41" s="141"/>
      <c r="C41" s="135"/>
      <c r="D41" s="58"/>
      <c r="E41" s="46"/>
      <c r="F41" s="180"/>
      <c r="G41" s="46"/>
      <c r="H41" s="46"/>
      <c r="I41" s="46"/>
      <c r="J41" s="180"/>
      <c r="K41" s="57"/>
      <c r="L41" s="46"/>
      <c r="M41" s="46"/>
      <c r="N41" s="180"/>
    </row>
    <row r="42" spans="1:16" s="21" customFormat="1" ht="18.5" x14ac:dyDescent="0.45">
      <c r="A42" s="72" t="str">
        <f>IF(F42&lt;&gt;"",(LARGE(A$7:A41,1)+1),"")</f>
        <v/>
      </c>
      <c r="B42" s="141"/>
      <c r="C42" s="50"/>
      <c r="D42" s="49"/>
      <c r="E42" s="46"/>
      <c r="F42" s="180"/>
      <c r="G42" s="57"/>
      <c r="H42" s="46"/>
      <c r="I42" s="46"/>
      <c r="J42" s="180" t="str">
        <f>IF(D42=0," ",(G42+H42)*(Details!$C$4+Details!$C$6))</f>
        <v xml:space="preserve"> </v>
      </c>
      <c r="K42" s="194"/>
      <c r="L42" s="20"/>
      <c r="M42" s="20"/>
      <c r="N42" s="180"/>
      <c r="P42" s="70" t="s">
        <v>106</v>
      </c>
    </row>
    <row r="43" spans="1:16" s="21" customFormat="1" ht="19" thickBot="1" x14ac:dyDescent="0.5">
      <c r="A43" s="72"/>
      <c r="B43" s="149"/>
      <c r="C43" s="50"/>
      <c r="D43" s="58"/>
      <c r="E43" s="60" t="s">
        <v>80</v>
      </c>
      <c r="F43" s="181">
        <f>SUM(F1:F42)</f>
        <v>0</v>
      </c>
      <c r="G43" s="57"/>
      <c r="H43" s="46"/>
      <c r="I43" s="46"/>
      <c r="J43" s="180" t="str">
        <f>IF(D43=0," ",(G43+H43)*(Details!$C$4+Details!$C$6))</f>
        <v xml:space="preserve"> </v>
      </c>
      <c r="K43" s="225">
        <f>SUM(K1:K42)</f>
        <v>0</v>
      </c>
      <c r="L43" s="226">
        <f>SUM(L1:L42)</f>
        <v>0</v>
      </c>
      <c r="M43" s="226">
        <f>SUM(M1:M42)</f>
        <v>0</v>
      </c>
      <c r="N43" s="181">
        <f>SUM(N1:N42)</f>
        <v>0</v>
      </c>
      <c r="O43" s="53"/>
      <c r="P43" s="70">
        <f>+F43-K43-L43-N43-M43</f>
        <v>0</v>
      </c>
    </row>
    <row r="44" spans="1:16" s="21" customFormat="1" ht="19.5" thickTop="1" thickBot="1" x14ac:dyDescent="0.5">
      <c r="A44" s="150" t="str">
        <f>IF(F44&lt;&gt;"",(LARGE(A$7:A43,1)+1),"")</f>
        <v/>
      </c>
      <c r="B44" s="151"/>
      <c r="C44" s="152"/>
      <c r="D44" s="61"/>
      <c r="E44" s="63"/>
      <c r="F44" s="65"/>
      <c r="G44" s="64"/>
      <c r="H44" s="63"/>
      <c r="I44" s="63"/>
      <c r="J44" s="65" t="str">
        <f>IF(D44=0," ",(G44+H44)*(Details!$C$4+Details!$C$6))</f>
        <v xml:space="preserve"> </v>
      </c>
      <c r="K44" s="207"/>
      <c r="L44" s="207"/>
      <c r="M44" s="207"/>
      <c r="N44" s="175"/>
      <c r="O44" s="53"/>
    </row>
    <row r="45" spans="1:16" x14ac:dyDescent="0.35">
      <c r="J45" s="16"/>
    </row>
    <row r="46" spans="1:16" x14ac:dyDescent="0.35">
      <c r="J46" s="16"/>
    </row>
  </sheetData>
  <mergeCells count="2">
    <mergeCell ref="G5:J5"/>
    <mergeCell ref="K5:N5"/>
  </mergeCells>
  <conditionalFormatting sqref="G8:G11 G15:G18 G20 G22 G24 G26 G28 G30 G32:G10539">
    <cfRule type="notContainsBlanks" dxfId="34" priority="19">
      <formula>LEN(TRIM(G8))&gt;0</formula>
    </cfRule>
  </conditionalFormatting>
  <conditionalFormatting sqref="H10 H15:I18 H20:I20 H22:I22 H24:I24 H26:I26 H28:I28 H30:I30 H32:I33 H41:I10539">
    <cfRule type="notContainsBlanks" dxfId="33" priority="34">
      <formula>LEN(TRIM(H10))&gt;0</formula>
    </cfRule>
  </conditionalFormatting>
  <conditionalFormatting sqref="H34">
    <cfRule type="notContainsBlanks" dxfId="32" priority="26">
      <formula>LEN(TRIM(H34))&gt;0</formula>
    </cfRule>
  </conditionalFormatting>
  <conditionalFormatting sqref="H36">
    <cfRule type="notContainsBlanks" dxfId="31" priority="24">
      <formula>LEN(TRIM(H36))&gt;0</formula>
    </cfRule>
  </conditionalFormatting>
  <conditionalFormatting sqref="H38">
    <cfRule type="notContainsBlanks" dxfId="30" priority="22">
      <formula>LEN(TRIM(H38))&gt;0</formula>
    </cfRule>
  </conditionalFormatting>
  <conditionalFormatting sqref="H40">
    <cfRule type="notContainsBlanks" dxfId="29" priority="20">
      <formula>LEN(TRIM(H40))&gt;0</formula>
    </cfRule>
  </conditionalFormatting>
  <conditionalFormatting sqref="H8:I9 H11:I11 H35:I35 H37:I37 H39:I39">
    <cfRule type="notContainsBlanks" dxfId="28" priority="40">
      <formula>LEN(TRIM(H8))&gt;0</formula>
    </cfRule>
  </conditionalFormatting>
  <conditionalFormatting sqref="P43">
    <cfRule type="cellIs" dxfId="27" priority="41" operator="equal">
      <formula>0</formula>
    </cfRule>
    <cfRule type="cellIs" dxfId="26" priority="42" operator="notBetween">
      <formula>-0.01</formula>
      <formula>0.01</formula>
    </cfRule>
  </conditionalFormatting>
  <conditionalFormatting sqref="G12:G14">
    <cfRule type="notContainsBlanks" dxfId="25" priority="15">
      <formula>LEN(TRIM(G12))&gt;0</formula>
    </cfRule>
  </conditionalFormatting>
  <conditionalFormatting sqref="H12:H14">
    <cfRule type="notContainsBlanks" dxfId="24" priority="16">
      <formula>LEN(TRIM(H12))&gt;0</formula>
    </cfRule>
  </conditionalFormatting>
  <conditionalFormatting sqref="G19">
    <cfRule type="notContainsBlanks" dxfId="23" priority="13">
      <formula>LEN(TRIM(G19))&gt;0</formula>
    </cfRule>
  </conditionalFormatting>
  <conditionalFormatting sqref="H19">
    <cfRule type="notContainsBlanks" dxfId="22" priority="14">
      <formula>LEN(TRIM(H19))&gt;0</formula>
    </cfRule>
  </conditionalFormatting>
  <conditionalFormatting sqref="G21">
    <cfRule type="notContainsBlanks" dxfId="21" priority="11">
      <formula>LEN(TRIM(G21))&gt;0</formula>
    </cfRule>
  </conditionalFormatting>
  <conditionalFormatting sqref="H21">
    <cfRule type="notContainsBlanks" dxfId="20" priority="12">
      <formula>LEN(TRIM(H21))&gt;0</formula>
    </cfRule>
  </conditionalFormatting>
  <conditionalFormatting sqref="G23">
    <cfRule type="notContainsBlanks" dxfId="19" priority="9">
      <formula>LEN(TRIM(G23))&gt;0</formula>
    </cfRule>
  </conditionalFormatting>
  <conditionalFormatting sqref="H23">
    <cfRule type="notContainsBlanks" dxfId="18" priority="10">
      <formula>LEN(TRIM(H23))&gt;0</formula>
    </cfRule>
  </conditionalFormatting>
  <conditionalFormatting sqref="G25">
    <cfRule type="notContainsBlanks" dxfId="17" priority="7">
      <formula>LEN(TRIM(G25))&gt;0</formula>
    </cfRule>
  </conditionalFormatting>
  <conditionalFormatting sqref="H25">
    <cfRule type="notContainsBlanks" dxfId="16" priority="8">
      <formula>LEN(TRIM(H25))&gt;0</formula>
    </cfRule>
  </conditionalFormatting>
  <conditionalFormatting sqref="G27">
    <cfRule type="notContainsBlanks" dxfId="15" priority="5">
      <formula>LEN(TRIM(G27))&gt;0</formula>
    </cfRule>
  </conditionalFormatting>
  <conditionalFormatting sqref="H27">
    <cfRule type="notContainsBlanks" dxfId="14" priority="6">
      <formula>LEN(TRIM(H27))&gt;0</formula>
    </cfRule>
  </conditionalFormatting>
  <conditionalFormatting sqref="G29">
    <cfRule type="notContainsBlanks" dxfId="13" priority="3">
      <formula>LEN(TRIM(G29))&gt;0</formula>
    </cfRule>
  </conditionalFormatting>
  <conditionalFormatting sqref="H29">
    <cfRule type="notContainsBlanks" dxfId="12" priority="4">
      <formula>LEN(TRIM(H29))&gt;0</formula>
    </cfRule>
  </conditionalFormatting>
  <conditionalFormatting sqref="G31">
    <cfRule type="notContainsBlanks" dxfId="11" priority="1">
      <formula>LEN(TRIM(G31))&gt;0</formula>
    </cfRule>
  </conditionalFormatting>
  <conditionalFormatting sqref="H31">
    <cfRule type="notContainsBlanks" dxfId="10" priority="2">
      <formula>LEN(TRIM(H31))&gt;0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P15"/>
  <sheetViews>
    <sheetView zoomScale="89" zoomScaleNormal="95" workbookViewId="0">
      <selection activeCell="K21" sqref="K21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6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6" x14ac:dyDescent="0.35">
      <c r="A1" s="27"/>
      <c r="B1" s="23"/>
      <c r="C1" s="28"/>
      <c r="D1" s="24"/>
      <c r="E1" s="31"/>
      <c r="F1" s="32"/>
      <c r="G1" s="31"/>
      <c r="H1" s="31"/>
      <c r="I1" s="31"/>
      <c r="J1" s="24"/>
    </row>
    <row r="2" spans="1:16" x14ac:dyDescent="0.35">
      <c r="A2" s="15"/>
      <c r="B2" s="3" t="str">
        <f>+'Qual, Excl &amp; Assum'!B2</f>
        <v>PROJECT:EXTERNAL AND INTERNAL REFURBISHMENT OF EXISTING APARTMENTS</v>
      </c>
      <c r="F2" s="33"/>
      <c r="J2" s="16"/>
    </row>
    <row r="3" spans="1:16" x14ac:dyDescent="0.35">
      <c r="A3" s="15"/>
      <c r="B3" s="51" t="str">
        <f>+'Qual, Excl &amp; Assum'!B3</f>
        <v>DATE: 29TH OCTOBER 2025</v>
      </c>
      <c r="F3" s="33"/>
      <c r="J3" s="16"/>
    </row>
    <row r="4" spans="1:16" s="21" customFormat="1" ht="16" thickBot="1" x14ac:dyDescent="0.4">
      <c r="A4" s="15"/>
      <c r="B4" s="22"/>
      <c r="C4" s="26"/>
      <c r="E4" s="34"/>
      <c r="F4" s="35"/>
      <c r="G4" s="34"/>
      <c r="H4" s="34"/>
      <c r="I4" s="34"/>
      <c r="K4" s="20"/>
      <c r="L4" s="20"/>
      <c r="M4" s="20"/>
    </row>
    <row r="5" spans="1:16" s="21" customFormat="1" ht="38.25" customHeight="1" thickBot="1" x14ac:dyDescent="0.4">
      <c r="A5" s="186"/>
      <c r="B5" s="187" t="s">
        <v>15</v>
      </c>
      <c r="C5" s="191"/>
      <c r="D5" s="189"/>
      <c r="E5" s="190"/>
      <c r="F5" s="196"/>
      <c r="G5" s="343" t="s">
        <v>102</v>
      </c>
      <c r="H5" s="344"/>
      <c r="I5" s="344"/>
      <c r="J5" s="345"/>
      <c r="K5" s="343" t="s">
        <v>103</v>
      </c>
      <c r="L5" s="344"/>
      <c r="M5" s="344"/>
      <c r="N5" s="345"/>
    </row>
    <row r="6" spans="1:16" s="21" customFormat="1" ht="18.5" x14ac:dyDescent="0.45">
      <c r="A6" s="47"/>
      <c r="B6" s="36"/>
      <c r="C6" s="50"/>
      <c r="D6" s="36"/>
      <c r="E6" s="62"/>
      <c r="F6" s="178"/>
      <c r="G6" s="228"/>
      <c r="H6" s="62"/>
      <c r="I6" s="62"/>
      <c r="J6" s="183"/>
      <c r="K6" s="194"/>
      <c r="L6" s="20"/>
      <c r="M6" s="20"/>
      <c r="N6" s="25"/>
    </row>
    <row r="7" spans="1:16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</row>
    <row r="8" spans="1:16" s="21" customFormat="1" ht="18.5" x14ac:dyDescent="0.45">
      <c r="A8" s="47"/>
      <c r="B8" s="147"/>
      <c r="C8" s="138"/>
      <c r="D8" s="59"/>
      <c r="E8" s="60"/>
      <c r="F8" s="179"/>
      <c r="G8" s="57"/>
      <c r="H8" s="46"/>
      <c r="I8" s="46"/>
      <c r="J8" s="184"/>
      <c r="K8" s="194"/>
      <c r="L8" s="20"/>
      <c r="M8" s="20"/>
      <c r="N8" s="180" t="str">
        <f t="shared" ref="N8" si="0">IF(D8=0," ",(J8*C8))</f>
        <v xml:space="preserve"> </v>
      </c>
    </row>
    <row r="9" spans="1:16" s="21" customFormat="1" ht="18.5" x14ac:dyDescent="0.45">
      <c r="A9" s="47"/>
      <c r="B9" s="148" t="s">
        <v>179</v>
      </c>
      <c r="C9" s="135"/>
      <c r="D9" s="49"/>
      <c r="E9" s="46"/>
      <c r="F9" s="180"/>
      <c r="G9" s="57"/>
      <c r="H9" s="46"/>
      <c r="I9" s="46"/>
      <c r="J9" s="180"/>
      <c r="K9" s="194"/>
      <c r="L9" s="20"/>
      <c r="M9" s="20"/>
      <c r="N9" s="180"/>
    </row>
    <row r="10" spans="1:16" s="21" customFormat="1" ht="18.5" x14ac:dyDescent="0.45">
      <c r="A10" s="47"/>
      <c r="B10" s="140"/>
      <c r="C10" s="135"/>
      <c r="D10" s="49"/>
      <c r="E10" s="46"/>
      <c r="F10" s="180"/>
      <c r="G10" s="57"/>
      <c r="H10" s="46"/>
      <c r="I10" s="46"/>
      <c r="J10" s="180"/>
      <c r="K10" s="194"/>
      <c r="L10" s="20"/>
      <c r="M10" s="20"/>
      <c r="N10" s="180"/>
    </row>
    <row r="11" spans="1:16" s="21" customFormat="1" ht="18.5" x14ac:dyDescent="0.45">
      <c r="A11" s="47">
        <v>1</v>
      </c>
      <c r="B11" s="140" t="s">
        <v>253</v>
      </c>
      <c r="C11" s="135">
        <v>1</v>
      </c>
      <c r="D11" s="49" t="s">
        <v>11</v>
      </c>
      <c r="E11" s="46">
        <f>G11+H11+J11+I11</f>
        <v>0</v>
      </c>
      <c r="F11" s="180">
        <f>E11*C11</f>
        <v>0</v>
      </c>
      <c r="G11" s="46">
        <v>0</v>
      </c>
      <c r="H11" s="46">
        <v>0</v>
      </c>
      <c r="I11" s="46">
        <f>IF(D11=0," ",(G11)*(Details!$C$4+Details!$C$8))</f>
        <v>0</v>
      </c>
      <c r="J11" s="180">
        <f>IF(D11=0," ",(H11)*(Details!$C$6+Details!$C$8))</f>
        <v>0</v>
      </c>
      <c r="K11" s="57">
        <f>+G11*C11</f>
        <v>0</v>
      </c>
      <c r="L11" s="46">
        <f>+H11*C11</f>
        <v>0</v>
      </c>
      <c r="M11" s="46">
        <f>IF(D11=0," ",(I11*C11))</f>
        <v>0</v>
      </c>
      <c r="N11" s="180">
        <f>IF(D11=0," ",(J11*C11))</f>
        <v>0</v>
      </c>
    </row>
    <row r="12" spans="1:16" s="21" customFormat="1" ht="18.5" x14ac:dyDescent="0.45">
      <c r="A12" s="47"/>
      <c r="B12" s="140"/>
      <c r="C12" s="135"/>
      <c r="D12" s="49"/>
      <c r="E12" s="46"/>
      <c r="F12" s="180"/>
      <c r="G12" s="46"/>
      <c r="H12" s="46"/>
      <c r="I12" s="46"/>
      <c r="J12" s="180"/>
      <c r="K12" s="57"/>
      <c r="L12" s="46"/>
      <c r="M12" s="46"/>
      <c r="N12" s="180"/>
    </row>
    <row r="13" spans="1:16" s="21" customFormat="1" ht="18.5" x14ac:dyDescent="0.45">
      <c r="A13" s="72"/>
      <c r="B13" s="141"/>
      <c r="C13" s="135"/>
      <c r="D13" s="49"/>
      <c r="E13" s="46"/>
      <c r="F13" s="180"/>
      <c r="G13" s="57"/>
      <c r="H13" s="46"/>
      <c r="I13" s="46"/>
      <c r="J13" s="180" t="str">
        <f>IF(D13=0," ",(G13+H13)*(Details!$C$4+Details!$C$6))</f>
        <v xml:space="preserve"> </v>
      </c>
      <c r="K13" s="194"/>
      <c r="L13" s="20"/>
      <c r="M13" s="20"/>
      <c r="N13" s="180"/>
      <c r="P13" s="70" t="s">
        <v>106</v>
      </c>
    </row>
    <row r="14" spans="1:16" s="21" customFormat="1" ht="19" thickBot="1" x14ac:dyDescent="0.5">
      <c r="A14" s="72"/>
      <c r="B14" s="149"/>
      <c r="C14" s="50"/>
      <c r="D14" s="58"/>
      <c r="E14" s="60" t="s">
        <v>80</v>
      </c>
      <c r="F14" s="181">
        <f>SUM(F1:F12)</f>
        <v>0</v>
      </c>
      <c r="G14" s="57"/>
      <c r="H14" s="46"/>
      <c r="I14" s="46"/>
      <c r="J14" s="180" t="str">
        <f>IF(D14=0," ",(G14+H14)*(Details!$C$4+Details!$C$6))</f>
        <v xml:space="preserve"> </v>
      </c>
      <c r="K14" s="225">
        <f>SUM(K1:K13)</f>
        <v>0</v>
      </c>
      <c r="L14" s="226">
        <f>SUM(L1:L13)</f>
        <v>0</v>
      </c>
      <c r="M14" s="226">
        <f>SUM(M1:M13)</f>
        <v>0</v>
      </c>
      <c r="N14" s="181">
        <f>SUM(N1:N13)</f>
        <v>0</v>
      </c>
      <c r="O14" s="53"/>
      <c r="P14" s="70">
        <f>+F14-K14-L14-N14-M14</f>
        <v>0</v>
      </c>
    </row>
    <row r="15" spans="1:16" s="21" customFormat="1" ht="19.5" thickTop="1" thickBot="1" x14ac:dyDescent="0.5">
      <c r="A15" s="150" t="str">
        <f>IF(F15&lt;&gt;"",(LARGE(A$7:A14,1)+1),"")</f>
        <v/>
      </c>
      <c r="B15" s="151"/>
      <c r="C15" s="152"/>
      <c r="D15" s="61"/>
      <c r="E15" s="63"/>
      <c r="F15" s="65"/>
      <c r="G15" s="64"/>
      <c r="H15" s="63"/>
      <c r="I15" s="63"/>
      <c r="J15" s="65" t="str">
        <f>IF(D15=0," ",(G15+H15)*(Details!$C$4+Details!$C$6))</f>
        <v xml:space="preserve"> </v>
      </c>
      <c r="K15" s="207"/>
      <c r="L15" s="207"/>
      <c r="M15" s="207"/>
      <c r="N15" s="175"/>
      <c r="O15" s="53"/>
    </row>
  </sheetData>
  <mergeCells count="2">
    <mergeCell ref="G5:J5"/>
    <mergeCell ref="K5:N5"/>
  </mergeCells>
  <conditionalFormatting sqref="G8:G10510">
    <cfRule type="notContainsBlanks" dxfId="9" priority="1">
      <formula>LEN(TRIM(G8))&gt;0</formula>
    </cfRule>
  </conditionalFormatting>
  <conditionalFormatting sqref="H11:H12">
    <cfRule type="notContainsBlanks" dxfId="8" priority="12">
      <formula>LEN(TRIM(H11))&gt;0</formula>
    </cfRule>
  </conditionalFormatting>
  <conditionalFormatting sqref="H8:I10 H13:I10510">
    <cfRule type="notContainsBlanks" dxfId="7" priority="17">
      <formula>LEN(TRIM(H8))&gt;0</formula>
    </cfRule>
  </conditionalFormatting>
  <conditionalFormatting sqref="P14">
    <cfRule type="cellIs" dxfId="6" priority="13" operator="equal">
      <formula>0</formula>
    </cfRule>
    <cfRule type="cellIs" dxfId="5" priority="1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R16"/>
  <sheetViews>
    <sheetView topLeftCell="A4" zoomScale="95" zoomScaleNormal="95" workbookViewId="0">
      <selection activeCell="F16" sqref="F16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6" customWidth="1"/>
    <col min="4" max="4" width="8.6328125" style="16" customWidth="1"/>
    <col min="5" max="6" width="15.6328125" style="20" customWidth="1"/>
    <col min="7" max="10" width="14.36328125" style="20" customWidth="1"/>
    <col min="11" max="16" width="15.6328125" style="20" customWidth="1"/>
    <col min="17" max="17" width="15.6328125" style="16" customWidth="1"/>
    <col min="18" max="16384" width="9.08984375" style="16"/>
  </cols>
  <sheetData>
    <row r="1" spans="1:18" x14ac:dyDescent="0.35">
      <c r="A1" s="27"/>
      <c r="B1" s="23"/>
      <c r="C1" s="28"/>
      <c r="D1" s="24"/>
      <c r="E1" s="31"/>
      <c r="F1" s="32"/>
      <c r="G1" s="31"/>
      <c r="H1" s="31"/>
      <c r="I1" s="31"/>
      <c r="J1" s="24"/>
      <c r="K1" s="16"/>
      <c r="L1" s="16"/>
      <c r="M1" s="16"/>
      <c r="N1" s="16"/>
    </row>
    <row r="2" spans="1:18" x14ac:dyDescent="0.35">
      <c r="A2" s="15"/>
      <c r="B2" s="3" t="str">
        <f>+'Qual, Excl &amp; Assum'!B2</f>
        <v>PROJECT:EXTERNAL AND INTERNAL REFURBISHMENT OF EXISTING APARTMENTS</v>
      </c>
      <c r="F2" s="33"/>
      <c r="J2" s="16"/>
      <c r="K2" s="16"/>
      <c r="L2" s="16"/>
      <c r="M2" s="16"/>
      <c r="N2" s="16"/>
    </row>
    <row r="3" spans="1:18" x14ac:dyDescent="0.35">
      <c r="A3" s="15"/>
      <c r="B3" s="51" t="str">
        <f>+'Qual, Excl &amp; Assum'!B3</f>
        <v>DATE: 29TH OCTOBER 2025</v>
      </c>
      <c r="F3" s="33"/>
      <c r="J3" s="16"/>
      <c r="K3" s="16"/>
      <c r="L3" s="16"/>
      <c r="M3" s="16"/>
      <c r="N3" s="16"/>
    </row>
    <row r="4" spans="1:18" s="21" customFormat="1" ht="16" thickBot="1" x14ac:dyDescent="0.4">
      <c r="A4" s="15"/>
      <c r="B4" s="22"/>
      <c r="C4" s="26"/>
      <c r="E4" s="34"/>
      <c r="F4" s="35"/>
      <c r="G4" s="34"/>
      <c r="H4" s="34"/>
      <c r="I4" s="34"/>
      <c r="O4" s="20"/>
      <c r="P4" s="20"/>
    </row>
    <row r="5" spans="1:18" s="21" customFormat="1" ht="38.25" customHeight="1" thickBot="1" x14ac:dyDescent="0.4">
      <c r="A5" s="186"/>
      <c r="B5" s="187" t="s">
        <v>14</v>
      </c>
      <c r="C5" s="191"/>
      <c r="D5" s="189"/>
      <c r="E5" s="190"/>
      <c r="F5" s="196"/>
      <c r="G5" s="343" t="s">
        <v>102</v>
      </c>
      <c r="H5" s="344"/>
      <c r="I5" s="344"/>
      <c r="J5" s="345"/>
      <c r="K5" s="343" t="s">
        <v>103</v>
      </c>
      <c r="L5" s="344"/>
      <c r="M5" s="344"/>
      <c r="N5" s="345"/>
      <c r="O5" s="20"/>
      <c r="P5" s="20"/>
    </row>
    <row r="6" spans="1:18" s="21" customFormat="1" ht="18.5" x14ac:dyDescent="0.45">
      <c r="A6" s="47"/>
      <c r="B6" s="36"/>
      <c r="C6" s="50"/>
      <c r="D6" s="36"/>
      <c r="E6" s="62"/>
      <c r="F6" s="178"/>
      <c r="G6" s="228"/>
      <c r="H6" s="62"/>
      <c r="I6" s="62"/>
      <c r="J6" s="183"/>
      <c r="K6" s="194"/>
      <c r="L6" s="20"/>
      <c r="M6" s="20"/>
      <c r="N6" s="25"/>
      <c r="O6" s="20"/>
      <c r="P6" s="20"/>
    </row>
    <row r="7" spans="1:18" s="21" customFormat="1" ht="18.5" x14ac:dyDescent="0.45">
      <c r="A7" s="47"/>
      <c r="B7" s="3" t="s">
        <v>3</v>
      </c>
      <c r="C7" s="234" t="s">
        <v>8</v>
      </c>
      <c r="D7" s="235" t="s">
        <v>2</v>
      </c>
      <c r="E7" s="52" t="s">
        <v>1</v>
      </c>
      <c r="F7" s="236" t="s">
        <v>0</v>
      </c>
      <c r="G7" s="237" t="s">
        <v>28</v>
      </c>
      <c r="H7" s="237" t="s">
        <v>29</v>
      </c>
      <c r="I7" s="237" t="s">
        <v>140</v>
      </c>
      <c r="J7" s="238" t="s">
        <v>141</v>
      </c>
      <c r="K7" s="237" t="s">
        <v>28</v>
      </c>
      <c r="L7" s="237" t="s">
        <v>29</v>
      </c>
      <c r="M7" s="237" t="s">
        <v>140</v>
      </c>
      <c r="N7" s="238" t="s">
        <v>141</v>
      </c>
      <c r="O7" s="20"/>
      <c r="P7" s="20"/>
    </row>
    <row r="8" spans="1:18" s="21" customFormat="1" ht="18.5" x14ac:dyDescent="0.45">
      <c r="A8" s="47"/>
      <c r="B8" s="147"/>
      <c r="C8" s="138"/>
      <c r="D8" s="59"/>
      <c r="E8" s="60"/>
      <c r="F8" s="179"/>
      <c r="G8" s="57"/>
      <c r="H8" s="46"/>
      <c r="I8" s="46"/>
      <c r="J8" s="184"/>
      <c r="K8" s="185"/>
      <c r="L8" s="59"/>
      <c r="M8" s="59"/>
      <c r="N8" s="180" t="str">
        <f t="shared" ref="N8" si="0">IF(D8=0," ",(J8*C8))</f>
        <v xml:space="preserve"> </v>
      </c>
      <c r="O8" s="20"/>
      <c r="P8" s="20"/>
    </row>
    <row r="9" spans="1:18" s="21" customFormat="1" ht="18.5" x14ac:dyDescent="0.45">
      <c r="A9" s="47"/>
      <c r="B9" s="148" t="s">
        <v>179</v>
      </c>
      <c r="C9" s="138"/>
      <c r="D9" s="59"/>
      <c r="E9" s="60"/>
      <c r="F9" s="179"/>
      <c r="G9" s="57"/>
      <c r="H9" s="46"/>
      <c r="I9" s="46"/>
      <c r="J9" s="184"/>
      <c r="K9" s="185"/>
      <c r="L9" s="59"/>
      <c r="M9" s="59"/>
      <c r="N9" s="180"/>
      <c r="O9" s="20"/>
      <c r="P9" s="20"/>
    </row>
    <row r="10" spans="1:18" s="21" customFormat="1" ht="18.5" x14ac:dyDescent="0.45">
      <c r="A10" s="47"/>
      <c r="B10" s="140"/>
      <c r="C10" s="138"/>
      <c r="D10" s="59"/>
      <c r="E10" s="60"/>
      <c r="F10" s="179"/>
      <c r="G10" s="57"/>
      <c r="H10" s="46"/>
      <c r="I10" s="46"/>
      <c r="J10" s="184"/>
      <c r="K10" s="185"/>
      <c r="L10" s="59"/>
      <c r="M10" s="59"/>
      <c r="N10" s="180"/>
      <c r="O10" s="20"/>
      <c r="P10" s="20"/>
    </row>
    <row r="11" spans="1:18" s="21" customFormat="1" ht="18.5" x14ac:dyDescent="0.45">
      <c r="A11" s="47">
        <v>1</v>
      </c>
      <c r="B11" s="140" t="s">
        <v>254</v>
      </c>
      <c r="C11" s="305">
        <v>1</v>
      </c>
      <c r="D11" s="158" t="s">
        <v>11</v>
      </c>
      <c r="E11" s="306">
        <f>G11+H11+J11+I11</f>
        <v>0</v>
      </c>
      <c r="F11" s="307">
        <f>E11*C11</f>
        <v>0</v>
      </c>
      <c r="G11" s="46">
        <v>0</v>
      </c>
      <c r="H11" s="46"/>
      <c r="I11" s="306">
        <f>IF(D11=0," ",(G11)*(Details!$C$4+Details!$C$8))</f>
        <v>0</v>
      </c>
      <c r="J11" s="307">
        <f>IF(D11=0," ",(H11)*(Details!$C$6+Details!$C$8))</f>
        <v>0</v>
      </c>
      <c r="K11" s="308">
        <f>+G11*C11</f>
        <v>0</v>
      </c>
      <c r="L11" s="306">
        <f>+H11*C11</f>
        <v>0</v>
      </c>
      <c r="M11" s="306">
        <f>IF(D11=0," ",(I11*C11))</f>
        <v>0</v>
      </c>
      <c r="N11" s="307">
        <f>IF(D11=0," ",(J11*C11))</f>
        <v>0</v>
      </c>
      <c r="O11" s="20"/>
      <c r="P11" s="20"/>
    </row>
    <row r="12" spans="1:18" s="21" customFormat="1" ht="18.5" x14ac:dyDescent="0.45">
      <c r="A12" s="47"/>
      <c r="B12" s="140"/>
      <c r="C12" s="135"/>
      <c r="D12" s="158"/>
      <c r="E12" s="46"/>
      <c r="F12" s="180"/>
      <c r="G12" s="46"/>
      <c r="H12" s="46"/>
      <c r="I12" s="46"/>
      <c r="J12" s="180"/>
      <c r="K12" s="57"/>
      <c r="L12" s="46"/>
      <c r="M12" s="46"/>
      <c r="N12" s="180"/>
      <c r="O12" s="20"/>
      <c r="P12" s="20"/>
    </row>
    <row r="13" spans="1:18" s="21" customFormat="1" ht="18.5" x14ac:dyDescent="0.45">
      <c r="A13" s="304" t="str">
        <f>IF(F13&lt;&gt;"",(LARGE(A$7:A12,1)+1),"")</f>
        <v/>
      </c>
      <c r="B13" s="141"/>
      <c r="C13" s="135"/>
      <c r="D13" s="49"/>
      <c r="E13" s="46"/>
      <c r="F13" s="180"/>
      <c r="G13" s="57"/>
      <c r="H13" s="46"/>
      <c r="I13" s="46"/>
      <c r="J13" s="180"/>
      <c r="K13" s="57"/>
      <c r="L13" s="46"/>
      <c r="M13" s="46"/>
      <c r="N13" s="180"/>
      <c r="O13" s="20"/>
      <c r="P13" s="20"/>
    </row>
    <row r="14" spans="1:18" s="21" customFormat="1" ht="16.5" customHeight="1" x14ac:dyDescent="0.45">
      <c r="A14" s="304" t="str">
        <f>IF(F14&lt;&gt;"",(LARGE(A$7:A13,1)+1),"")</f>
        <v/>
      </c>
      <c r="B14" s="141"/>
      <c r="C14" s="135"/>
      <c r="D14" s="49"/>
      <c r="E14" s="46"/>
      <c r="F14" s="180"/>
      <c r="G14" s="57"/>
      <c r="H14" s="46"/>
      <c r="I14" s="46"/>
      <c r="J14" s="180" t="str">
        <f>IF(D14=0," ",(G14+H14)*(Details!$C$4+Details!$C$6))</f>
        <v xml:space="preserve"> </v>
      </c>
      <c r="K14" s="57"/>
      <c r="L14" s="46"/>
      <c r="M14" s="46"/>
      <c r="N14" s="180"/>
      <c r="O14" s="20"/>
      <c r="P14" s="70" t="s">
        <v>106</v>
      </c>
    </row>
    <row r="15" spans="1:18" s="21" customFormat="1" ht="19" thickBot="1" x14ac:dyDescent="0.5">
      <c r="A15" s="72"/>
      <c r="B15" s="149"/>
      <c r="C15" s="50"/>
      <c r="D15" s="58"/>
      <c r="E15" s="60" t="s">
        <v>80</v>
      </c>
      <c r="F15" s="181">
        <f>SUM(F1:F14)</f>
        <v>0</v>
      </c>
      <c r="G15" s="57"/>
      <c r="H15" s="46"/>
      <c r="I15" s="46"/>
      <c r="J15" s="180" t="str">
        <f>IF(D15=0," ",(G15+H15)*(Details!$C$4+Details!$C$6))</f>
        <v xml:space="preserve"> </v>
      </c>
      <c r="K15" s="225">
        <f>SUM(K1:K14)</f>
        <v>0</v>
      </c>
      <c r="L15" s="226">
        <f>SUM(L1:L14)</f>
        <v>0</v>
      </c>
      <c r="M15" s="226">
        <f>SUM(M1:M14)</f>
        <v>0</v>
      </c>
      <c r="N15" s="181">
        <f>SUM(N1:N14)</f>
        <v>0</v>
      </c>
      <c r="O15" s="20"/>
      <c r="P15" s="70">
        <f>+F15-K15-L15-N15-M15</f>
        <v>0</v>
      </c>
      <c r="R15" s="53"/>
    </row>
    <row r="16" spans="1:18" s="21" customFormat="1" ht="19.5" thickTop="1" thickBot="1" x14ac:dyDescent="0.5">
      <c r="A16" s="150" t="str">
        <f>IF(F16&lt;&gt;"",(LARGE(A$7:A15,1)+1),"")</f>
        <v/>
      </c>
      <c r="B16" s="151"/>
      <c r="C16" s="152"/>
      <c r="D16" s="61"/>
      <c r="E16" s="63"/>
      <c r="F16" s="65"/>
      <c r="G16" s="64"/>
      <c r="H16" s="63"/>
      <c r="I16" s="63"/>
      <c r="J16" s="65" t="str">
        <f>IF(D16=0," ",(G16+H16)*(Details!$C$4+Details!$C$6))</f>
        <v xml:space="preserve"> </v>
      </c>
      <c r="K16" s="207"/>
      <c r="L16" s="207"/>
      <c r="M16" s="207"/>
      <c r="N16" s="175"/>
      <c r="O16" s="20"/>
      <c r="P16" s="20"/>
      <c r="R16" s="53"/>
    </row>
  </sheetData>
  <mergeCells count="2">
    <mergeCell ref="G5:J5"/>
    <mergeCell ref="K5:N5"/>
  </mergeCells>
  <conditionalFormatting sqref="G8:G10511">
    <cfRule type="notContainsBlanks" dxfId="4" priority="1">
      <formula>LEN(TRIM(G8))&gt;0</formula>
    </cfRule>
  </conditionalFormatting>
  <conditionalFormatting sqref="H10:H12 H13:I10511">
    <cfRule type="notContainsBlanks" dxfId="3" priority="18">
      <formula>LEN(TRIM(H10))&gt;0</formula>
    </cfRule>
  </conditionalFormatting>
  <conditionalFormatting sqref="H8:I9 I10">
    <cfRule type="notContainsBlanks" dxfId="2" priority="23">
      <formula>LEN(TRIM(H8))&gt;0</formula>
    </cfRule>
  </conditionalFormatting>
  <conditionalFormatting sqref="P15">
    <cfRule type="cellIs" dxfId="1" priority="19" operator="equal">
      <formula>0</formula>
    </cfRule>
    <cfRule type="cellIs" dxfId="0" priority="20" operator="notBetween">
      <formula>-0.01</formula>
      <formula>0.01</formula>
    </cfRule>
  </conditionalFormatting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FF132-A1BC-46AA-A511-E229365E27EA}">
  <dimension ref="A1:H85"/>
  <sheetViews>
    <sheetView topLeftCell="A19" workbookViewId="0">
      <selection activeCell="F31" sqref="F31"/>
    </sheetView>
  </sheetViews>
  <sheetFormatPr defaultColWidth="9.08984375" defaultRowHeight="15.5" x14ac:dyDescent="0.35"/>
  <cols>
    <col min="1" max="1" width="5.453125" style="16" customWidth="1"/>
    <col min="2" max="2" width="94.453125" style="21" customWidth="1"/>
    <col min="3" max="3" width="12.453125" style="26" customWidth="1"/>
    <col min="4" max="4" width="14.6328125" style="16" customWidth="1"/>
    <col min="5" max="6" width="12.453125" style="30" customWidth="1"/>
    <col min="7" max="7" width="10.453125" style="16" bestFit="1" customWidth="1"/>
    <col min="8" max="16384" width="9.08984375" style="16"/>
  </cols>
  <sheetData>
    <row r="1" spans="1:7" x14ac:dyDescent="0.35">
      <c r="A1" s="27"/>
      <c r="B1" s="23"/>
      <c r="C1" s="28"/>
      <c r="D1" s="24"/>
    </row>
    <row r="2" spans="1:7" x14ac:dyDescent="0.35">
      <c r="A2" s="15"/>
      <c r="B2" s="3" t="str">
        <f>+'Qual, Excl &amp; Assum'!B2</f>
        <v>PROJECT:EXTERNAL AND INTERNAL REFURBISHMENT OF EXISTING APARTMENTS</v>
      </c>
    </row>
    <row r="3" spans="1:7" x14ac:dyDescent="0.35">
      <c r="A3" s="15"/>
      <c r="B3" s="51" t="str">
        <f>+'Qual, Excl &amp; Assum'!B3</f>
        <v>DATE: 29TH OCTOBER 2025</v>
      </c>
    </row>
    <row r="4" spans="1:7" s="21" customFormat="1" ht="16" thickBot="1" x14ac:dyDescent="0.4">
      <c r="A4" s="15"/>
      <c r="B4" s="22"/>
      <c r="C4" s="26"/>
      <c r="E4" s="69"/>
      <c r="F4" s="69"/>
    </row>
    <row r="5" spans="1:7" s="21" customFormat="1" ht="37.5" customHeight="1" thickBot="1" x14ac:dyDescent="0.55000000000000004">
      <c r="A5" s="198"/>
      <c r="B5" s="199" t="s">
        <v>9</v>
      </c>
      <c r="C5" s="224"/>
      <c r="D5" s="202"/>
      <c r="E5" s="346"/>
      <c r="F5" s="347"/>
    </row>
    <row r="6" spans="1:7" s="21" customFormat="1" ht="18.5" x14ac:dyDescent="0.45">
      <c r="A6" s="172"/>
      <c r="B6" s="137"/>
      <c r="C6" s="313"/>
      <c r="D6" s="314"/>
      <c r="E6" s="30"/>
      <c r="F6" s="30"/>
      <c r="G6" s="71"/>
    </row>
    <row r="7" spans="1:7" s="21" customFormat="1" ht="18.5" x14ac:dyDescent="0.45">
      <c r="A7" s="47"/>
      <c r="B7" s="315" t="s">
        <v>3</v>
      </c>
      <c r="C7" s="316" t="s">
        <v>8</v>
      </c>
      <c r="D7" s="205" t="s">
        <v>2</v>
      </c>
      <c r="E7" s="69"/>
      <c r="F7" s="69"/>
    </row>
    <row r="8" spans="1:7" s="21" customFormat="1" ht="18.5" x14ac:dyDescent="0.45">
      <c r="A8" s="47"/>
      <c r="B8" s="317"/>
      <c r="C8" s="318"/>
      <c r="D8" s="184"/>
      <c r="E8" s="30"/>
      <c r="F8" s="20"/>
    </row>
    <row r="9" spans="1:7" s="21" customFormat="1" ht="18.5" x14ac:dyDescent="0.45">
      <c r="A9" s="47"/>
      <c r="B9" s="324" t="s">
        <v>255</v>
      </c>
      <c r="C9" s="319"/>
      <c r="D9" s="320"/>
      <c r="E9" s="30"/>
      <c r="F9" s="20"/>
    </row>
    <row r="10" spans="1:7" s="21" customFormat="1" ht="18.5" x14ac:dyDescent="0.45">
      <c r="A10" s="72">
        <v>1</v>
      </c>
      <c r="B10" s="321" t="s">
        <v>256</v>
      </c>
      <c r="C10" s="319">
        <f>ROUNDUP(528/3.6,0)</f>
        <v>147</v>
      </c>
      <c r="D10" s="320" t="s">
        <v>257</v>
      </c>
      <c r="E10" s="30"/>
      <c r="F10" s="20"/>
    </row>
    <row r="11" spans="1:7" s="21" customFormat="1" ht="18.5" x14ac:dyDescent="0.45">
      <c r="A11" s="72">
        <f>IF(C11&lt;&gt;"",(LARGE(A$7:A10,1)+1),"")</f>
        <v>2</v>
      </c>
      <c r="B11" s="321" t="s">
        <v>300</v>
      </c>
      <c r="C11" s="319">
        <f>ROUNDUP(15/3.6,0)</f>
        <v>5</v>
      </c>
      <c r="D11" s="320" t="s">
        <v>257</v>
      </c>
      <c r="E11" s="30"/>
      <c r="F11" s="20"/>
    </row>
    <row r="12" spans="1:7" s="21" customFormat="1" ht="18.5" x14ac:dyDescent="0.45">
      <c r="A12" s="72">
        <f>IF(C12&lt;&gt;"",(LARGE(A$7:A11,1)+1),"")</f>
        <v>3</v>
      </c>
      <c r="B12" s="321" t="s">
        <v>258</v>
      </c>
      <c r="C12" s="319">
        <f>ROUNDUP(14/3.6,0)</f>
        <v>4</v>
      </c>
      <c r="D12" s="320" t="s">
        <v>257</v>
      </c>
      <c r="E12" s="30"/>
      <c r="F12" s="20"/>
    </row>
    <row r="13" spans="1:7" s="21" customFormat="1" ht="18.5" x14ac:dyDescent="0.45">
      <c r="A13" s="72">
        <f>IF(C13&lt;&gt;"",(LARGE(A$7:A12,1)+1),"")</f>
        <v>4</v>
      </c>
      <c r="B13" s="321" t="s">
        <v>259</v>
      </c>
      <c r="C13" s="319">
        <f>ROUNDUP(37/3.6,0)</f>
        <v>11</v>
      </c>
      <c r="D13" s="320" t="s">
        <v>257</v>
      </c>
      <c r="E13" s="30"/>
      <c r="F13" s="20"/>
    </row>
    <row r="14" spans="1:7" s="21" customFormat="1" ht="18.5" x14ac:dyDescent="0.45">
      <c r="A14" s="72">
        <f>IF(C14&lt;&gt;"",(LARGE(A$7:A13,1)+1),"")</f>
        <v>5</v>
      </c>
      <c r="B14" s="321" t="s">
        <v>260</v>
      </c>
      <c r="C14" s="319">
        <f>ROUNDUP(55/3.6,0)</f>
        <v>16</v>
      </c>
      <c r="D14" s="320" t="s">
        <v>257</v>
      </c>
      <c r="E14" s="30"/>
      <c r="F14" s="20"/>
    </row>
    <row r="15" spans="1:7" s="21" customFormat="1" ht="18.5" x14ac:dyDescent="0.45">
      <c r="A15" s="72">
        <f>IF(C15&lt;&gt;"",(LARGE(A$7:A14,1)+1),"")</f>
        <v>6</v>
      </c>
      <c r="B15" s="321" t="s">
        <v>261</v>
      </c>
      <c r="C15" s="319">
        <f>ROUNDUP(331/2.4,0)</f>
        <v>138</v>
      </c>
      <c r="D15" s="320" t="s">
        <v>257</v>
      </c>
      <c r="E15" s="30"/>
      <c r="F15" s="20"/>
    </row>
    <row r="16" spans="1:7" s="21" customFormat="1" ht="18.5" x14ac:dyDescent="0.45">
      <c r="A16" s="72">
        <f>IF(C16&lt;&gt;"",(LARGE(A$7:A15,1)+1),"")</f>
        <v>7</v>
      </c>
      <c r="B16" s="321" t="s">
        <v>262</v>
      </c>
      <c r="C16" s="319">
        <f>ROUNDUP(165/2.4,0)</f>
        <v>69</v>
      </c>
      <c r="D16" s="320" t="s">
        <v>257</v>
      </c>
      <c r="E16" s="30"/>
      <c r="F16" s="20"/>
    </row>
    <row r="17" spans="1:6" s="21" customFormat="1" ht="18.5" x14ac:dyDescent="0.45">
      <c r="A17" s="72">
        <f>IF(C17&lt;&gt;"",(LARGE(A$7:A16,1)+1),"")</f>
        <v>8</v>
      </c>
      <c r="B17" s="321" t="s">
        <v>263</v>
      </c>
      <c r="C17" s="319">
        <v>1</v>
      </c>
      <c r="D17" s="320" t="s">
        <v>257</v>
      </c>
      <c r="E17" s="30"/>
      <c r="F17" s="20"/>
    </row>
    <row r="18" spans="1:6" s="21" customFormat="1" ht="18.5" x14ac:dyDescent="0.45">
      <c r="A18" s="72">
        <f>IF(C18&lt;&gt;"",(LARGE(A$7:A17,1)+1),"")</f>
        <v>9</v>
      </c>
      <c r="B18" s="321" t="s">
        <v>264</v>
      </c>
      <c r="C18" s="319">
        <f>ROUNDUP(131/3.6,0)</f>
        <v>37</v>
      </c>
      <c r="D18" s="320" t="s">
        <v>257</v>
      </c>
      <c r="E18" s="30"/>
      <c r="F18" s="20"/>
    </row>
    <row r="19" spans="1:6" s="21" customFormat="1" ht="18.5" x14ac:dyDescent="0.45">
      <c r="A19" s="72">
        <f>IF(C19&lt;&gt;"",(LARGE(A$7:A18,1)+1),"")</f>
        <v>10</v>
      </c>
      <c r="B19" s="321" t="s">
        <v>265</v>
      </c>
      <c r="C19" s="319">
        <f>ROUNDUP(52/3.6,0)</f>
        <v>15</v>
      </c>
      <c r="D19" s="320" t="s">
        <v>257</v>
      </c>
      <c r="E19" s="30"/>
      <c r="F19" s="20"/>
    </row>
    <row r="20" spans="1:6" s="21" customFormat="1" ht="18.5" x14ac:dyDescent="0.45">
      <c r="A20" s="72">
        <f>IF(C20&lt;&gt;"",(LARGE(A$7:A19,1)+1),"")</f>
        <v>11</v>
      </c>
      <c r="B20" s="321" t="s">
        <v>266</v>
      </c>
      <c r="C20" s="319">
        <f>ROUNDUP(258/41,0)</f>
        <v>7</v>
      </c>
      <c r="D20" s="320" t="s">
        <v>267</v>
      </c>
      <c r="E20" s="30"/>
      <c r="F20" s="20"/>
    </row>
    <row r="21" spans="1:6" s="21" customFormat="1" ht="18.5" x14ac:dyDescent="0.45">
      <c r="A21" s="72">
        <f>IF(C21&lt;&gt;"",(LARGE(A$7:A20,1)+1),"")</f>
        <v>12</v>
      </c>
      <c r="B21" s="321" t="s">
        <v>238</v>
      </c>
      <c r="C21" s="319">
        <f>ROUNDUP(71/24,0)</f>
        <v>3</v>
      </c>
      <c r="D21" s="320" t="s">
        <v>267</v>
      </c>
      <c r="E21" s="30"/>
      <c r="F21" s="20"/>
    </row>
    <row r="22" spans="1:6" s="21" customFormat="1" ht="18.5" x14ac:dyDescent="0.45">
      <c r="A22" s="72">
        <f>IF(C22&lt;&gt;"",(LARGE(A$7:A21,1)+1),"")</f>
        <v>13</v>
      </c>
      <c r="B22" s="321" t="s">
        <v>268</v>
      </c>
      <c r="C22" s="319">
        <f>ROUNDUP(293/2.88,0)</f>
        <v>102</v>
      </c>
      <c r="D22" s="320" t="s">
        <v>269</v>
      </c>
      <c r="E22" s="30"/>
      <c r="F22" s="20"/>
    </row>
    <row r="23" spans="1:6" s="21" customFormat="1" ht="18.5" x14ac:dyDescent="0.45">
      <c r="A23" s="72">
        <f>IF(C23&lt;&gt;"",(LARGE(A$7:A22,1)+1),"")</f>
        <v>14</v>
      </c>
      <c r="B23" s="321" t="s">
        <v>270</v>
      </c>
      <c r="C23" s="319">
        <f>ROUNDUP(233/2.88,0)</f>
        <v>81</v>
      </c>
      <c r="D23" s="320" t="s">
        <v>269</v>
      </c>
      <c r="E23" s="30"/>
      <c r="F23" s="20"/>
    </row>
    <row r="24" spans="1:6" s="21" customFormat="1" ht="18.5" x14ac:dyDescent="0.45">
      <c r="A24" s="72">
        <f>IF(C24&lt;&gt;"",(LARGE(A$7:A23,1)+1),"")</f>
        <v>15</v>
      </c>
      <c r="B24" s="321" t="s">
        <v>271</v>
      </c>
      <c r="C24" s="319">
        <f>ROUNDUP(306/2.88,0)</f>
        <v>107</v>
      </c>
      <c r="D24" s="320" t="s">
        <v>269</v>
      </c>
      <c r="E24" s="30"/>
      <c r="F24" s="20"/>
    </row>
    <row r="25" spans="1:6" s="21" customFormat="1" ht="18.5" x14ac:dyDescent="0.45">
      <c r="A25" s="72">
        <f>IF(C25&lt;&gt;"",(LARGE(A$7:A24,1)+1),"")</f>
        <v>16</v>
      </c>
      <c r="B25" s="321" t="s">
        <v>272</v>
      </c>
      <c r="C25" s="319">
        <f>ROUNDUP(71/2.88,0)</f>
        <v>25</v>
      </c>
      <c r="D25" s="320" t="s">
        <v>269</v>
      </c>
      <c r="E25" s="30"/>
      <c r="F25" s="20"/>
    </row>
    <row r="26" spans="1:6" s="21" customFormat="1" ht="18.5" x14ac:dyDescent="0.45">
      <c r="A26" s="72">
        <f>IF(C26&lt;&gt;"",(LARGE(A$7:A25,1)+1),"")</f>
        <v>17</v>
      </c>
      <c r="B26" s="321" t="s">
        <v>273</v>
      </c>
      <c r="C26" s="319">
        <f>ROUNDUP(80/0.72,0)</f>
        <v>112</v>
      </c>
      <c r="D26" s="320" t="s">
        <v>269</v>
      </c>
      <c r="E26" s="30"/>
      <c r="F26" s="20"/>
    </row>
    <row r="27" spans="1:6" s="21" customFormat="1" ht="18.5" x14ac:dyDescent="0.45">
      <c r="A27" s="72">
        <f>IF(C27&lt;&gt;"",(LARGE(A$7:A26,1)+1),"")</f>
        <v>18</v>
      </c>
      <c r="B27" s="321" t="s">
        <v>274</v>
      </c>
      <c r="C27" s="319">
        <f>ROUNDUP(133/0.72,0)</f>
        <v>185</v>
      </c>
      <c r="D27" s="320" t="s">
        <v>269</v>
      </c>
      <c r="E27" s="30"/>
      <c r="F27" s="20"/>
    </row>
    <row r="28" spans="1:6" s="21" customFormat="1" ht="18.5" x14ac:dyDescent="0.45">
      <c r="A28" s="72">
        <f>IF(C28&lt;&gt;"",(LARGE(A$7:A27,1)+1),"")</f>
        <v>19</v>
      </c>
      <c r="B28" s="321" t="s">
        <v>275</v>
      </c>
      <c r="C28" s="319">
        <f>ROUNDUP(74/2.88,0)</f>
        <v>26</v>
      </c>
      <c r="D28" s="320" t="s">
        <v>269</v>
      </c>
      <c r="E28" s="30"/>
      <c r="F28" s="20"/>
    </row>
    <row r="29" spans="1:6" s="21" customFormat="1" ht="18.5" x14ac:dyDescent="0.45">
      <c r="A29" s="72">
        <f>IF(C29&lt;&gt;"",(LARGE(A$7:A28,1)+1),"")</f>
        <v>20</v>
      </c>
      <c r="B29" s="321" t="s">
        <v>298</v>
      </c>
      <c r="C29" s="319">
        <f>ROUNDUP(1105/8,0)</f>
        <v>139</v>
      </c>
      <c r="D29" s="320" t="s">
        <v>276</v>
      </c>
      <c r="E29" s="30"/>
      <c r="F29" s="20"/>
    </row>
    <row r="30" spans="1:6" s="21" customFormat="1" ht="37" x14ac:dyDescent="0.45">
      <c r="A30" s="72">
        <f>IF(C30&lt;&gt;"",(LARGE(A$7:A29,1)+1),"")</f>
        <v>21</v>
      </c>
      <c r="B30" s="322" t="s">
        <v>299</v>
      </c>
      <c r="C30" s="319">
        <f>ROUNDUP(337/6,0)</f>
        <v>57</v>
      </c>
      <c r="D30" s="320" t="s">
        <v>276</v>
      </c>
      <c r="E30" s="30"/>
      <c r="F30" s="20"/>
    </row>
    <row r="31" spans="1:6" s="21" customFormat="1" ht="18.5" x14ac:dyDescent="0.45">
      <c r="A31" s="72">
        <f>IF(C31&lt;&gt;"",(LARGE(A$7:A30,1)+1),"")</f>
        <v>22</v>
      </c>
      <c r="B31" s="321" t="s">
        <v>277</v>
      </c>
      <c r="C31" s="319">
        <f>ROUNDUP(32*301/25,0)</f>
        <v>386</v>
      </c>
      <c r="D31" s="320" t="s">
        <v>276</v>
      </c>
      <c r="E31" s="30"/>
      <c r="F31" s="20"/>
    </row>
    <row r="32" spans="1:6" s="21" customFormat="1" ht="18.5" x14ac:dyDescent="0.45">
      <c r="A32" s="47"/>
      <c r="B32" s="321"/>
      <c r="C32" s="319"/>
      <c r="D32" s="320"/>
      <c r="E32" s="30"/>
      <c r="F32" s="20"/>
    </row>
    <row r="33" spans="1:6" s="21" customFormat="1" ht="18.5" x14ac:dyDescent="0.45">
      <c r="A33" s="47"/>
      <c r="B33" s="324" t="s">
        <v>278</v>
      </c>
      <c r="C33" s="319"/>
      <c r="D33" s="320"/>
      <c r="E33" s="30"/>
      <c r="F33" s="20"/>
    </row>
    <row r="34" spans="1:6" s="21" customFormat="1" ht="18.5" x14ac:dyDescent="0.45">
      <c r="A34" s="72">
        <f>IF(C34&lt;&gt;"",(LARGE(A$7:A33,1)+1),"")</f>
        <v>23</v>
      </c>
      <c r="B34" s="321" t="s">
        <v>279</v>
      </c>
      <c r="C34" s="319">
        <f>ROUNDUP(391/2.88,0)</f>
        <v>136</v>
      </c>
      <c r="D34" s="320" t="s">
        <v>269</v>
      </c>
      <c r="E34" s="30"/>
      <c r="F34" s="20"/>
    </row>
    <row r="35" spans="1:6" s="21" customFormat="1" ht="18.5" x14ac:dyDescent="0.45">
      <c r="A35" s="72">
        <f>IF(C35&lt;&gt;"",(LARGE(A$7:A34,1)+1),"")</f>
        <v>24</v>
      </c>
      <c r="B35" s="321" t="s">
        <v>196</v>
      </c>
      <c r="C35" s="319">
        <f>ROUNDUP(358/0.361,0)</f>
        <v>992</v>
      </c>
      <c r="D35" s="320" t="s">
        <v>280</v>
      </c>
      <c r="E35" s="30"/>
      <c r="F35" s="20"/>
    </row>
    <row r="36" spans="1:6" s="21" customFormat="1" ht="18.5" x14ac:dyDescent="0.45">
      <c r="A36" s="72">
        <f>IF(C36&lt;&gt;"",(LARGE(A$7:A35,1)+1),"")</f>
        <v>25</v>
      </c>
      <c r="B36" s="321" t="s">
        <v>197</v>
      </c>
      <c r="C36" s="319">
        <f>ROUNDUP(33/0.36,0)</f>
        <v>92</v>
      </c>
      <c r="D36" s="320" t="s">
        <v>281</v>
      </c>
      <c r="E36" s="30"/>
      <c r="F36" s="20"/>
    </row>
    <row r="37" spans="1:6" s="21" customFormat="1" ht="18.5" x14ac:dyDescent="0.45">
      <c r="A37" s="72">
        <f>IF(C37&lt;&gt;"",(LARGE(A$7:A36,1)+1),"")</f>
        <v>26</v>
      </c>
      <c r="B37" s="321" t="s">
        <v>282</v>
      </c>
      <c r="C37" s="319">
        <f>ROUNDUP(172/0.18,0)</f>
        <v>956</v>
      </c>
      <c r="D37" s="320" t="s">
        <v>281</v>
      </c>
      <c r="E37" s="30"/>
      <c r="F37" s="20"/>
    </row>
    <row r="38" spans="1:6" s="21" customFormat="1" ht="18.5" x14ac:dyDescent="0.45">
      <c r="A38" s="72">
        <f>IF(C38&lt;&gt;"",(LARGE(A$7:A37,1)+1),"")</f>
        <v>27</v>
      </c>
      <c r="B38" s="321" t="s">
        <v>199</v>
      </c>
      <c r="C38" s="319">
        <f>ROUNDUP(1008/12,0)</f>
        <v>84</v>
      </c>
      <c r="D38" s="320" t="s">
        <v>283</v>
      </c>
      <c r="E38" s="30"/>
      <c r="F38" s="20"/>
    </row>
    <row r="39" spans="1:6" s="21" customFormat="1" ht="18.5" x14ac:dyDescent="0.45">
      <c r="A39" s="47"/>
      <c r="B39" s="321"/>
      <c r="C39" s="319"/>
      <c r="D39" s="320"/>
      <c r="E39" s="30"/>
      <c r="F39" s="20"/>
    </row>
    <row r="40" spans="1:6" s="21" customFormat="1" ht="18.5" x14ac:dyDescent="0.45">
      <c r="A40" s="47"/>
      <c r="B40" s="324" t="s">
        <v>284</v>
      </c>
      <c r="C40" s="319"/>
      <c r="D40" s="320"/>
      <c r="E40" s="30"/>
      <c r="F40" s="20"/>
    </row>
    <row r="41" spans="1:6" s="21" customFormat="1" ht="18.5" x14ac:dyDescent="0.45">
      <c r="A41" s="72">
        <f>IF(C41&lt;&gt;"",(LARGE(A$7:A40,1)+1),"")</f>
        <v>28</v>
      </c>
      <c r="B41" s="321" t="s">
        <v>186</v>
      </c>
      <c r="C41" s="319">
        <f>264/3</f>
        <v>88</v>
      </c>
      <c r="D41" s="320" t="s">
        <v>257</v>
      </c>
      <c r="E41" s="30"/>
      <c r="F41" s="20"/>
    </row>
    <row r="42" spans="1:6" s="21" customFormat="1" ht="18.5" x14ac:dyDescent="0.45">
      <c r="A42" s="72">
        <f>IF(C42&lt;&gt;"",(LARGE(A$7:A41,1)+1),"")</f>
        <v>29</v>
      </c>
      <c r="B42" s="321" t="s">
        <v>187</v>
      </c>
      <c r="C42" s="319">
        <f>48/1.2</f>
        <v>40</v>
      </c>
      <c r="D42" s="320" t="s">
        <v>257</v>
      </c>
      <c r="E42" s="30"/>
      <c r="F42" s="20"/>
    </row>
    <row r="43" spans="1:6" s="21" customFormat="1" ht="18.5" x14ac:dyDescent="0.45">
      <c r="A43" s="47"/>
      <c r="B43" s="321"/>
      <c r="C43" s="319"/>
      <c r="D43" s="320"/>
      <c r="E43" s="30"/>
      <c r="F43" s="20"/>
    </row>
    <row r="44" spans="1:6" s="21" customFormat="1" ht="18.5" x14ac:dyDescent="0.45">
      <c r="A44" s="47"/>
      <c r="B44" s="324" t="s">
        <v>285</v>
      </c>
      <c r="C44" s="319"/>
      <c r="D44" s="320"/>
      <c r="E44" s="30"/>
      <c r="F44" s="20"/>
    </row>
    <row r="45" spans="1:6" s="21" customFormat="1" ht="18.5" x14ac:dyDescent="0.45">
      <c r="A45" s="72">
        <f>IF(C45&lt;&gt;"",(LARGE(A$7:A44,1)+1),"")</f>
        <v>30</v>
      </c>
      <c r="B45" s="321" t="s">
        <v>200</v>
      </c>
      <c r="C45" s="319">
        <v>8</v>
      </c>
      <c r="D45" s="320" t="s">
        <v>286</v>
      </c>
      <c r="E45" s="30"/>
      <c r="F45" s="20"/>
    </row>
    <row r="46" spans="1:6" s="21" customFormat="1" ht="18.5" x14ac:dyDescent="0.45">
      <c r="A46" s="72">
        <f>IF(C46&lt;&gt;"",(LARGE(A$7:A45,1)+1),"")</f>
        <v>31</v>
      </c>
      <c r="B46" s="321" t="s">
        <v>201</v>
      </c>
      <c r="C46" s="319">
        <v>8</v>
      </c>
      <c r="D46" s="320" t="s">
        <v>286</v>
      </c>
      <c r="E46" s="30"/>
      <c r="F46" s="20"/>
    </row>
    <row r="47" spans="1:6" s="21" customFormat="1" ht="18.5" x14ac:dyDescent="0.45">
      <c r="A47" s="72">
        <f>IF(C47&lt;&gt;"",(LARGE(A$7:A46,1)+1),"")</f>
        <v>32</v>
      </c>
      <c r="B47" s="321" t="s">
        <v>287</v>
      </c>
      <c r="C47" s="319">
        <v>18.68</v>
      </c>
      <c r="D47" s="320" t="s">
        <v>288</v>
      </c>
      <c r="E47" s="30"/>
      <c r="F47" s="20"/>
    </row>
    <row r="48" spans="1:6" s="21" customFormat="1" ht="18.5" x14ac:dyDescent="0.45">
      <c r="A48" s="47"/>
      <c r="B48" s="321"/>
      <c r="C48" s="319"/>
      <c r="D48" s="320"/>
      <c r="E48" s="30"/>
      <c r="F48" s="20"/>
    </row>
    <row r="49" spans="1:6" s="21" customFormat="1" ht="18.5" x14ac:dyDescent="0.45">
      <c r="A49" s="47"/>
      <c r="B49" s="325" t="s">
        <v>289</v>
      </c>
      <c r="C49" s="319"/>
      <c r="D49" s="320"/>
      <c r="E49" s="30"/>
      <c r="F49" s="20"/>
    </row>
    <row r="50" spans="1:6" s="21" customFormat="1" ht="18.5" x14ac:dyDescent="0.45">
      <c r="A50" s="72">
        <f>IF(C50&lt;&gt;"",(LARGE(A$7:A49,1)+1),"")</f>
        <v>33</v>
      </c>
      <c r="B50" s="321" t="s">
        <v>207</v>
      </c>
      <c r="C50" s="319">
        <v>8</v>
      </c>
      <c r="D50" s="320" t="s">
        <v>286</v>
      </c>
      <c r="E50" s="30"/>
      <c r="F50" s="20"/>
    </row>
    <row r="51" spans="1:6" s="21" customFormat="1" ht="18.5" x14ac:dyDescent="0.45">
      <c r="A51" s="72">
        <f>IF(C51&lt;&gt;"",(LARGE(A$7:A50,1)+1),"")</f>
        <v>34</v>
      </c>
      <c r="B51" s="321" t="s">
        <v>208</v>
      </c>
      <c r="C51" s="319">
        <v>8</v>
      </c>
      <c r="D51" s="320" t="s">
        <v>286</v>
      </c>
      <c r="E51" s="30"/>
      <c r="F51" s="20"/>
    </row>
    <row r="52" spans="1:6" s="21" customFormat="1" ht="18.5" x14ac:dyDescent="0.45">
      <c r="A52" s="72">
        <f>IF(C52&lt;&gt;"",(LARGE(A$7:A51,1)+1),"")</f>
        <v>35</v>
      </c>
      <c r="B52" s="321" t="s">
        <v>209</v>
      </c>
      <c r="C52" s="319">
        <v>8</v>
      </c>
      <c r="D52" s="320" t="s">
        <v>286</v>
      </c>
      <c r="E52" s="30"/>
      <c r="F52" s="20"/>
    </row>
    <row r="53" spans="1:6" s="21" customFormat="1" ht="18.5" x14ac:dyDescent="0.45">
      <c r="A53" s="72">
        <f>IF(C53&lt;&gt;"",(LARGE(A$7:A52,1)+1),"")</f>
        <v>36</v>
      </c>
      <c r="B53" s="321" t="s">
        <v>210</v>
      </c>
      <c r="C53" s="319">
        <v>8</v>
      </c>
      <c r="D53" s="320" t="s">
        <v>286</v>
      </c>
      <c r="E53" s="30"/>
      <c r="F53" s="20"/>
    </row>
    <row r="54" spans="1:6" s="21" customFormat="1" ht="18.5" x14ac:dyDescent="0.45">
      <c r="A54" s="72">
        <f>IF(C54&lt;&gt;"",(LARGE(A$7:A53,1)+1),"")</f>
        <v>37</v>
      </c>
      <c r="B54" s="321" t="s">
        <v>211</v>
      </c>
      <c r="C54" s="319">
        <v>8</v>
      </c>
      <c r="D54" s="320" t="s">
        <v>286</v>
      </c>
      <c r="E54" s="30"/>
      <c r="F54" s="20"/>
    </row>
    <row r="55" spans="1:6" s="21" customFormat="1" ht="18.5" x14ac:dyDescent="0.45">
      <c r="A55" s="72">
        <f>IF(C55&lt;&gt;"",(LARGE(A$7:A54,1)+1),"")</f>
        <v>38</v>
      </c>
      <c r="B55" s="321" t="s">
        <v>212</v>
      </c>
      <c r="C55" s="319">
        <v>8</v>
      </c>
      <c r="D55" s="320" t="s">
        <v>286</v>
      </c>
      <c r="E55" s="30"/>
      <c r="F55" s="20"/>
    </row>
    <row r="56" spans="1:6" s="21" customFormat="1" ht="18.5" x14ac:dyDescent="0.45">
      <c r="A56" s="72">
        <f>IF(C56&lt;&gt;"",(LARGE(A$7:A55,1)+1),"")</f>
        <v>39</v>
      </c>
      <c r="B56" s="321" t="s">
        <v>213</v>
      </c>
      <c r="C56" s="319">
        <v>8</v>
      </c>
      <c r="D56" s="320" t="s">
        <v>286</v>
      </c>
      <c r="E56" s="30"/>
      <c r="F56" s="20"/>
    </row>
    <row r="57" spans="1:6" s="21" customFormat="1" ht="18.5" x14ac:dyDescent="0.45">
      <c r="A57" s="47"/>
      <c r="B57" s="321"/>
      <c r="C57" s="319"/>
      <c r="D57" s="320"/>
      <c r="E57" s="30"/>
      <c r="F57" s="20"/>
    </row>
    <row r="58" spans="1:6" s="21" customFormat="1" ht="18.5" x14ac:dyDescent="0.45">
      <c r="A58" s="47"/>
      <c r="B58" s="325" t="s">
        <v>290</v>
      </c>
      <c r="C58" s="319"/>
      <c r="D58" s="320"/>
      <c r="E58" s="30"/>
      <c r="F58" s="20"/>
    </row>
    <row r="59" spans="1:6" s="21" customFormat="1" ht="18.5" x14ac:dyDescent="0.45">
      <c r="A59" s="72">
        <f>IF(C59&lt;&gt;"",(LARGE(A$7:A58,1)+1),"")</f>
        <v>40</v>
      </c>
      <c r="B59" s="321" t="s">
        <v>202</v>
      </c>
      <c r="C59" s="319">
        <v>8</v>
      </c>
      <c r="D59" s="320" t="s">
        <v>286</v>
      </c>
      <c r="E59" s="30"/>
      <c r="F59" s="20"/>
    </row>
    <row r="60" spans="1:6" s="21" customFormat="1" ht="18.5" x14ac:dyDescent="0.45">
      <c r="A60" s="72">
        <f>IF(C60&lt;&gt;"",(LARGE(A$7:A59,1)+1),"")</f>
        <v>41</v>
      </c>
      <c r="B60" s="321" t="s">
        <v>203</v>
      </c>
      <c r="C60" s="319">
        <v>8</v>
      </c>
      <c r="D60" s="320" t="s">
        <v>286</v>
      </c>
      <c r="E60" s="30"/>
      <c r="F60" s="20"/>
    </row>
    <row r="61" spans="1:6" s="21" customFormat="1" ht="18.5" x14ac:dyDescent="0.45">
      <c r="A61" s="72">
        <f>IF(C61&lt;&gt;"",(LARGE(A$7:A60,1)+1),"")</f>
        <v>42</v>
      </c>
      <c r="B61" s="321" t="s">
        <v>205</v>
      </c>
      <c r="C61" s="319">
        <v>5</v>
      </c>
      <c r="D61" s="320" t="s">
        <v>286</v>
      </c>
      <c r="E61" s="30"/>
      <c r="F61" s="20"/>
    </row>
    <row r="62" spans="1:6" s="21" customFormat="1" ht="18.5" x14ac:dyDescent="0.45">
      <c r="A62" s="72">
        <f>IF(C62&lt;&gt;"",(LARGE(A$7:A61,1)+1),"")</f>
        <v>43</v>
      </c>
      <c r="B62" s="321" t="s">
        <v>204</v>
      </c>
      <c r="C62" s="319">
        <v>3</v>
      </c>
      <c r="D62" s="320" t="s">
        <v>286</v>
      </c>
      <c r="E62" s="30"/>
      <c r="F62" s="20"/>
    </row>
    <row r="63" spans="1:6" s="21" customFormat="1" ht="18.5" x14ac:dyDescent="0.45">
      <c r="A63" s="47"/>
      <c r="B63" s="321"/>
      <c r="C63" s="319"/>
      <c r="D63" s="320"/>
      <c r="E63" s="30"/>
      <c r="F63" s="20"/>
    </row>
    <row r="64" spans="1:6" s="21" customFormat="1" ht="18.5" x14ac:dyDescent="0.45">
      <c r="A64" s="47"/>
      <c r="B64" s="324" t="s">
        <v>21</v>
      </c>
      <c r="C64" s="319"/>
      <c r="D64" s="320"/>
      <c r="E64" s="30"/>
      <c r="F64" s="20"/>
    </row>
    <row r="65" spans="1:6" s="21" customFormat="1" ht="18.5" x14ac:dyDescent="0.45">
      <c r="A65" s="72">
        <f>IF(C65&lt;&gt;"",(LARGE(A$7:A64,1)+1),"")</f>
        <v>44</v>
      </c>
      <c r="B65" s="321" t="s">
        <v>188</v>
      </c>
      <c r="C65" s="319">
        <v>32.39</v>
      </c>
      <c r="D65" s="320" t="s">
        <v>291</v>
      </c>
      <c r="E65" s="30"/>
      <c r="F65" s="20"/>
    </row>
    <row r="66" spans="1:6" s="21" customFormat="1" ht="18.5" x14ac:dyDescent="0.45">
      <c r="A66" s="72">
        <f>IF(C66&lt;&gt;"",(LARGE(A$7:A65,1)+1),"")</f>
        <v>45</v>
      </c>
      <c r="B66" s="321" t="s">
        <v>189</v>
      </c>
      <c r="C66" s="319">
        <v>30.2</v>
      </c>
      <c r="D66" s="320" t="s">
        <v>291</v>
      </c>
      <c r="E66" s="30"/>
      <c r="F66" s="20"/>
    </row>
    <row r="67" spans="1:6" s="21" customFormat="1" ht="18.5" x14ac:dyDescent="0.45">
      <c r="A67" s="72">
        <f>IF(C67&lt;&gt;"",(LARGE(A$7:A66,1)+1),"")</f>
        <v>46</v>
      </c>
      <c r="B67" s="321" t="s">
        <v>190</v>
      </c>
      <c r="C67" s="319">
        <v>0.93</v>
      </c>
      <c r="D67" s="320" t="s">
        <v>291</v>
      </c>
      <c r="E67" s="30"/>
      <c r="F67" s="20"/>
    </row>
    <row r="68" spans="1:6" s="21" customFormat="1" ht="18.5" x14ac:dyDescent="0.45">
      <c r="A68" s="72">
        <f>IF(C68&lt;&gt;"",(LARGE(A$7:A67,1)+1),"")</f>
        <v>47</v>
      </c>
      <c r="B68" s="321" t="s">
        <v>191</v>
      </c>
      <c r="C68" s="319">
        <v>1.66</v>
      </c>
      <c r="D68" s="320" t="s">
        <v>288</v>
      </c>
      <c r="E68" s="30"/>
      <c r="F68" s="20"/>
    </row>
    <row r="69" spans="1:6" s="21" customFormat="1" ht="18.5" x14ac:dyDescent="0.45">
      <c r="A69" s="47"/>
      <c r="B69" s="321"/>
      <c r="C69" s="319"/>
      <c r="D69" s="320"/>
      <c r="E69" s="30"/>
      <c r="F69" s="20"/>
    </row>
    <row r="70" spans="1:6" s="21" customFormat="1" ht="18.5" x14ac:dyDescent="0.45">
      <c r="A70" s="47"/>
      <c r="B70" s="324" t="s">
        <v>292</v>
      </c>
      <c r="C70" s="319"/>
      <c r="D70" s="320"/>
      <c r="E70" s="30"/>
      <c r="F70" s="20"/>
    </row>
    <row r="71" spans="1:6" s="21" customFormat="1" ht="18.5" x14ac:dyDescent="0.45">
      <c r="A71" s="47"/>
      <c r="B71" s="324"/>
      <c r="C71" s="319"/>
      <c r="D71" s="320"/>
      <c r="E71" s="30"/>
      <c r="F71" s="20"/>
    </row>
    <row r="72" spans="1:6" s="21" customFormat="1" ht="18.5" x14ac:dyDescent="0.45">
      <c r="A72" s="47"/>
      <c r="B72" s="325" t="s">
        <v>40</v>
      </c>
      <c r="C72" s="319"/>
      <c r="D72" s="320"/>
      <c r="E72" s="30"/>
      <c r="F72" s="20"/>
    </row>
    <row r="73" spans="1:6" s="21" customFormat="1" ht="18.5" x14ac:dyDescent="0.45">
      <c r="A73" s="72">
        <f>IF(C73&lt;&gt;"",(LARGE(A$7:A72,1)+1),"")</f>
        <v>48</v>
      </c>
      <c r="B73" s="321" t="s">
        <v>293</v>
      </c>
      <c r="C73" s="319">
        <v>17</v>
      </c>
      <c r="D73" s="320" t="s">
        <v>286</v>
      </c>
      <c r="E73" s="30"/>
      <c r="F73" s="20"/>
    </row>
    <row r="74" spans="1:6" s="21" customFormat="1" ht="18.5" x14ac:dyDescent="0.45">
      <c r="A74" s="72">
        <f>IF(C74&lt;&gt;"",(LARGE(A$7:A73,1)+1),"")</f>
        <v>49</v>
      </c>
      <c r="B74" s="321" t="s">
        <v>294</v>
      </c>
      <c r="C74" s="319">
        <v>7</v>
      </c>
      <c r="D74" s="320" t="s">
        <v>286</v>
      </c>
      <c r="E74" s="30"/>
      <c r="F74" s="20"/>
    </row>
    <row r="75" spans="1:6" s="21" customFormat="1" ht="18.5" x14ac:dyDescent="0.45">
      <c r="A75" s="72">
        <f>IF(C75&lt;&gt;"",(LARGE(A$7:A74,1)+1),"")</f>
        <v>50</v>
      </c>
      <c r="B75" s="321" t="s">
        <v>295</v>
      </c>
      <c r="C75" s="319">
        <v>2</v>
      </c>
      <c r="D75" s="320" t="s">
        <v>286</v>
      </c>
      <c r="E75" s="30"/>
      <c r="F75" s="20"/>
    </row>
    <row r="76" spans="1:6" s="21" customFormat="1" ht="18.5" x14ac:dyDescent="0.45">
      <c r="A76" s="47"/>
      <c r="B76" s="321"/>
      <c r="C76" s="319"/>
      <c r="D76" s="320"/>
      <c r="E76" s="30"/>
      <c r="F76" s="20"/>
    </row>
    <row r="77" spans="1:6" s="21" customFormat="1" ht="18.5" x14ac:dyDescent="0.45">
      <c r="A77" s="47"/>
      <c r="B77" s="325" t="s">
        <v>41</v>
      </c>
      <c r="C77" s="319"/>
      <c r="D77" s="320"/>
      <c r="E77" s="30"/>
      <c r="F77" s="20"/>
    </row>
    <row r="78" spans="1:6" s="21" customFormat="1" ht="18.5" x14ac:dyDescent="0.45">
      <c r="A78" s="72">
        <f>IF(C78&lt;&gt;"",(LARGE(A$7:A77,1)+1),"")</f>
        <v>51</v>
      </c>
      <c r="B78" s="321" t="s">
        <v>296</v>
      </c>
      <c r="C78" s="319">
        <v>3</v>
      </c>
      <c r="D78" s="320" t="s">
        <v>286</v>
      </c>
      <c r="E78" s="30"/>
      <c r="F78" s="20"/>
    </row>
    <row r="79" spans="1:6" s="21" customFormat="1" ht="18.5" x14ac:dyDescent="0.45">
      <c r="A79" s="72">
        <f>IF(C79&lt;&gt;"",(LARGE(A$7:A78,1)+1),"")</f>
        <v>52</v>
      </c>
      <c r="B79" s="321" t="s">
        <v>297</v>
      </c>
      <c r="C79" s="319">
        <v>1</v>
      </c>
      <c r="D79" s="320" t="s">
        <v>286</v>
      </c>
      <c r="E79" s="30"/>
      <c r="F79" s="20"/>
    </row>
    <row r="80" spans="1:6" s="21" customFormat="1" ht="19" thickBot="1" x14ac:dyDescent="0.5">
      <c r="A80" s="48"/>
      <c r="B80" s="151"/>
      <c r="C80" s="152"/>
      <c r="D80" s="323"/>
      <c r="E80" s="30"/>
      <c r="F80" s="20"/>
    </row>
    <row r="81" spans="1:8" s="21" customFormat="1" x14ac:dyDescent="0.35">
      <c r="A81" s="16"/>
      <c r="C81" s="26"/>
      <c r="D81" s="16"/>
      <c r="E81" s="30"/>
      <c r="F81" s="30"/>
    </row>
    <row r="82" spans="1:8" s="21" customFormat="1" ht="17.5" customHeight="1" x14ac:dyDescent="0.35">
      <c r="A82" s="16"/>
      <c r="C82" s="26"/>
      <c r="D82" s="16"/>
      <c r="E82" s="30"/>
      <c r="F82" s="30"/>
    </row>
    <row r="83" spans="1:8" s="21" customFormat="1" x14ac:dyDescent="0.35">
      <c r="A83" s="16"/>
      <c r="C83" s="26"/>
      <c r="D83" s="16"/>
      <c r="E83" s="30"/>
      <c r="F83" s="30"/>
    </row>
    <row r="84" spans="1:8" s="21" customFormat="1" x14ac:dyDescent="0.35">
      <c r="A84" s="16"/>
      <c r="C84" s="26"/>
      <c r="D84" s="16"/>
      <c r="E84" s="30"/>
      <c r="F84" s="30"/>
      <c r="H84" s="53"/>
    </row>
    <row r="85" spans="1:8" s="21" customFormat="1" x14ac:dyDescent="0.35">
      <c r="A85" s="16"/>
      <c r="C85" s="26"/>
      <c r="D85" s="16"/>
      <c r="E85" s="30"/>
      <c r="F85" s="30"/>
      <c r="H85" s="53"/>
    </row>
  </sheetData>
  <mergeCells count="1">
    <mergeCell ref="E5:F5"/>
  </mergeCells>
  <dataValidations disablePrompts="1" count="1">
    <dataValidation type="list" allowBlank="1" showInputMessage="1" showErrorMessage="1" sqref="E5:F5" xr:uid="{1EF49DE6-9A6F-4744-BCAC-9187D93487E9}">
      <formula1>"Location 1,Location 2,Location 3,Location 4,Location 5,"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E22" sqref="E22"/>
    </sheetView>
  </sheetViews>
  <sheetFormatPr defaultColWidth="9.08984375" defaultRowHeight="14.5" x14ac:dyDescent="0.35"/>
  <cols>
    <col min="1" max="1" width="9.08984375" style="241"/>
    <col min="2" max="2" width="45.6328125" style="241" customWidth="1"/>
    <col min="3" max="3" width="19.36328125" style="241" customWidth="1"/>
    <col min="4" max="4" width="13.36328125" style="241" customWidth="1"/>
    <col min="5" max="5" width="11.453125" style="241" customWidth="1"/>
    <col min="6" max="7" width="9.08984375" style="241"/>
    <col min="8" max="9" width="9.08984375" style="281"/>
    <col min="10" max="13" width="19.08984375" style="281" customWidth="1"/>
    <col min="14" max="18" width="9.08984375" style="281"/>
    <col min="19" max="16384" width="9.08984375" style="241"/>
  </cols>
  <sheetData>
    <row r="1" spans="2:16" ht="15" thickBot="1" x14ac:dyDescent="0.4"/>
    <row r="2" spans="2:16" ht="21.5" thickBot="1" x14ac:dyDescent="0.5">
      <c r="B2" s="242" t="s">
        <v>61</v>
      </c>
      <c r="C2" s="243"/>
      <c r="D2" s="243"/>
      <c r="E2" s="243"/>
      <c r="F2" s="244"/>
      <c r="I2" s="290"/>
      <c r="J2" s="291" t="s">
        <v>145</v>
      </c>
      <c r="K2" s="291">
        <f>+Summary!D31</f>
        <v>0</v>
      </c>
      <c r="L2" s="289"/>
      <c r="M2" s="288"/>
      <c r="N2" s="288"/>
      <c r="O2" s="282"/>
      <c r="P2" s="282"/>
    </row>
    <row r="3" spans="2:16" ht="18.5" x14ac:dyDescent="0.45">
      <c r="B3" s="245"/>
      <c r="C3" s="246"/>
      <c r="D3" s="247"/>
      <c r="E3" s="248"/>
      <c r="F3" s="249"/>
      <c r="I3" s="290"/>
      <c r="J3" s="291"/>
      <c r="K3" s="292"/>
      <c r="L3" s="293"/>
      <c r="M3" s="287"/>
      <c r="N3" s="287"/>
      <c r="O3" s="282"/>
      <c r="P3" s="282"/>
    </row>
    <row r="4" spans="2:16" ht="18.5" x14ac:dyDescent="0.45">
      <c r="B4" s="250" t="s">
        <v>146</v>
      </c>
      <c r="C4" s="251">
        <v>0.1</v>
      </c>
      <c r="D4" s="252">
        <f>+C4+1</f>
        <v>1.1000000000000001</v>
      </c>
      <c r="E4" s="253"/>
      <c r="F4" s="254"/>
      <c r="I4" s="290"/>
      <c r="J4" s="291" t="s">
        <v>129</v>
      </c>
      <c r="K4" s="291">
        <f>+(Summary!F28+Summary!G28)*1.1</f>
        <v>0</v>
      </c>
      <c r="L4" s="293"/>
      <c r="M4" s="287"/>
      <c r="N4" s="287"/>
      <c r="O4" s="282"/>
      <c r="P4" s="282"/>
    </row>
    <row r="5" spans="2:16" ht="15.5" x14ac:dyDescent="0.35">
      <c r="B5" s="255"/>
      <c r="C5" s="256"/>
      <c r="D5" s="257"/>
      <c r="E5" s="258"/>
      <c r="F5" s="249"/>
      <c r="I5" s="286"/>
      <c r="J5" s="294"/>
      <c r="K5" s="294"/>
      <c r="L5" s="295"/>
      <c r="M5" s="296">
        <f>CEILING((K4/K27),4)</f>
        <v>0</v>
      </c>
      <c r="N5" s="297" t="s">
        <v>101</v>
      </c>
      <c r="O5" s="298"/>
      <c r="P5" s="283"/>
    </row>
    <row r="6" spans="2:16" ht="15.5" x14ac:dyDescent="0.35">
      <c r="B6" s="250" t="s">
        <v>147</v>
      </c>
      <c r="C6" s="251">
        <v>0.1</v>
      </c>
      <c r="D6" s="252">
        <f>+C6+1</f>
        <v>1.1000000000000001</v>
      </c>
      <c r="E6" s="253"/>
      <c r="F6" s="254"/>
      <c r="I6" s="286"/>
      <c r="J6" s="297"/>
      <c r="K6" s="297"/>
      <c r="L6" s="295"/>
      <c r="M6" s="297"/>
      <c r="N6" s="297"/>
      <c r="O6" s="298"/>
      <c r="P6" s="283"/>
    </row>
    <row r="7" spans="2:16" ht="15.5" x14ac:dyDescent="0.35">
      <c r="B7" s="255"/>
      <c r="C7" s="256"/>
      <c r="D7" s="257"/>
      <c r="E7" s="260"/>
      <c r="F7" s="249"/>
      <c r="I7" s="286"/>
      <c r="J7" s="297" t="s">
        <v>62</v>
      </c>
      <c r="K7" s="297">
        <v>0</v>
      </c>
      <c r="L7" s="295" t="str">
        <f>IF(AND($K$4&gt;=K7,$K$4&lt;=K8),N7,O7)</f>
        <v>Yes</v>
      </c>
      <c r="M7" s="297">
        <v>5000</v>
      </c>
      <c r="N7" s="297" t="s">
        <v>63</v>
      </c>
      <c r="O7" s="298" t="s">
        <v>73</v>
      </c>
      <c r="P7" s="283"/>
    </row>
    <row r="8" spans="2:16" ht="16" thickBot="1" x14ac:dyDescent="0.4">
      <c r="B8" s="261" t="s">
        <v>107</v>
      </c>
      <c r="C8" s="262">
        <v>0.05</v>
      </c>
      <c r="D8" s="263">
        <f>+C8+1</f>
        <v>1.05</v>
      </c>
      <c r="E8" s="264"/>
      <c r="F8" s="265"/>
      <c r="I8" s="286"/>
      <c r="J8" s="297"/>
      <c r="K8" s="297">
        <v>50000</v>
      </c>
      <c r="L8" s="295"/>
      <c r="M8" s="297"/>
      <c r="N8" s="297"/>
      <c r="O8" s="298"/>
      <c r="P8" s="283"/>
    </row>
    <row r="9" spans="2:16" ht="15.5" x14ac:dyDescent="0.35">
      <c r="I9" s="286"/>
      <c r="J9" s="297" t="s">
        <v>64</v>
      </c>
      <c r="K9" s="297">
        <f>K8</f>
        <v>50000</v>
      </c>
      <c r="L9" s="295" t="str">
        <f>IF(AND($K$4&gt;=K9,$K$4&lt;=K10),N9,O9)</f>
        <v>No</v>
      </c>
      <c r="M9" s="297">
        <v>9000</v>
      </c>
      <c r="N9" s="297" t="s">
        <v>63</v>
      </c>
      <c r="O9" s="298" t="s">
        <v>73</v>
      </c>
      <c r="P9" s="283"/>
    </row>
    <row r="10" spans="2:16" ht="15.5" x14ac:dyDescent="0.35">
      <c r="I10" s="286"/>
      <c r="J10" s="297"/>
      <c r="K10" s="297">
        <v>150000</v>
      </c>
      <c r="L10" s="295"/>
      <c r="M10" s="297"/>
      <c r="N10" s="296"/>
      <c r="O10" s="298"/>
      <c r="P10" s="283"/>
    </row>
    <row r="11" spans="2:16" ht="15.5" x14ac:dyDescent="0.35">
      <c r="I11" s="286"/>
      <c r="J11" s="297" t="s">
        <v>65</v>
      </c>
      <c r="K11" s="297">
        <f>K10</f>
        <v>150000</v>
      </c>
      <c r="L11" s="295" t="str">
        <f>IF(AND($K$4&gt;=K11,$K$4&lt;=K12),N11,O11)</f>
        <v>No</v>
      </c>
      <c r="M11" s="297">
        <v>10000</v>
      </c>
      <c r="N11" s="297" t="s">
        <v>63</v>
      </c>
      <c r="O11" s="298" t="s">
        <v>73</v>
      </c>
      <c r="P11" s="283"/>
    </row>
    <row r="12" spans="2:16" ht="15.5" x14ac:dyDescent="0.35">
      <c r="I12" s="286"/>
      <c r="J12" s="297"/>
      <c r="K12" s="297">
        <v>350000</v>
      </c>
      <c r="L12" s="295"/>
      <c r="M12" s="297"/>
      <c r="N12" s="296"/>
      <c r="O12" s="298"/>
      <c r="P12" s="283"/>
    </row>
    <row r="13" spans="2:16" ht="16" thickBot="1" x14ac:dyDescent="0.4">
      <c r="I13" s="286"/>
      <c r="J13" s="297" t="s">
        <v>66</v>
      </c>
      <c r="K13" s="297">
        <f>K12</f>
        <v>350000</v>
      </c>
      <c r="L13" s="295" t="str">
        <f>IF(AND($K$4&gt;=K13,$K$4&lt;=K14),N13,O13)</f>
        <v>No</v>
      </c>
      <c r="M13" s="297">
        <v>12500</v>
      </c>
      <c r="N13" s="297" t="s">
        <v>63</v>
      </c>
      <c r="O13" s="298" t="s">
        <v>73</v>
      </c>
      <c r="P13" s="283"/>
    </row>
    <row r="14" spans="2:16" ht="16" thickBot="1" x14ac:dyDescent="0.4">
      <c r="B14" s="266" t="s">
        <v>148</v>
      </c>
      <c r="C14" s="267" t="s">
        <v>155</v>
      </c>
      <c r="I14" s="286"/>
      <c r="J14" s="297"/>
      <c r="K14" s="297">
        <v>500000</v>
      </c>
      <c r="L14" s="295"/>
      <c r="M14" s="297"/>
      <c r="N14" s="296"/>
      <c r="O14" s="298"/>
      <c r="P14" s="283"/>
    </row>
    <row r="15" spans="2:16" ht="18.5" x14ac:dyDescent="0.45">
      <c r="B15" s="268" t="s">
        <v>153</v>
      </c>
      <c r="C15" s="269">
        <v>0</v>
      </c>
      <c r="I15" s="286"/>
      <c r="J15" s="297" t="s">
        <v>67</v>
      </c>
      <c r="K15" s="297">
        <f>K14</f>
        <v>500000</v>
      </c>
      <c r="L15" s="295" t="str">
        <f>IF(AND($K$4&gt;=K15,$K$4&lt;=K16),N15,O15)</f>
        <v>No</v>
      </c>
      <c r="M15" s="297">
        <v>14000</v>
      </c>
      <c r="N15" s="297" t="s">
        <v>63</v>
      </c>
      <c r="O15" s="298" t="s">
        <v>73</v>
      </c>
      <c r="P15" s="283"/>
    </row>
    <row r="16" spans="2:16" ht="18.5" x14ac:dyDescent="0.45">
      <c r="B16" s="270" t="s">
        <v>131</v>
      </c>
      <c r="C16" s="271">
        <v>300</v>
      </c>
      <c r="I16" s="286"/>
      <c r="J16" s="297"/>
      <c r="K16" s="297">
        <v>750000</v>
      </c>
      <c r="L16" s="295"/>
      <c r="M16" s="297"/>
      <c r="N16" s="296"/>
      <c r="O16" s="298"/>
      <c r="P16" s="283"/>
    </row>
    <row r="17" spans="1:16" ht="18.5" x14ac:dyDescent="0.45">
      <c r="B17" s="268" t="s">
        <v>132</v>
      </c>
      <c r="C17" s="269">
        <v>0</v>
      </c>
      <c r="I17" s="286"/>
      <c r="J17" s="297" t="s">
        <v>68</v>
      </c>
      <c r="K17" s="297">
        <v>750000</v>
      </c>
      <c r="L17" s="295" t="str">
        <f>IF(AND($K$4&gt;=K17,$K$4&lt;=K18),N17,O17)</f>
        <v>No</v>
      </c>
      <c r="M17" s="297">
        <v>15500</v>
      </c>
      <c r="N17" s="297" t="s">
        <v>63</v>
      </c>
      <c r="O17" s="298" t="s">
        <v>73</v>
      </c>
      <c r="P17" s="283"/>
    </row>
    <row r="18" spans="1:16" ht="18.5" x14ac:dyDescent="0.45">
      <c r="B18" s="272" t="s">
        <v>133</v>
      </c>
      <c r="C18" s="271">
        <v>300</v>
      </c>
      <c r="I18" s="286"/>
      <c r="J18" s="297"/>
      <c r="K18" s="297">
        <v>1000000</v>
      </c>
      <c r="L18" s="295"/>
      <c r="M18" s="297"/>
      <c r="N18" s="296"/>
      <c r="O18" s="298"/>
      <c r="P18" s="283"/>
    </row>
    <row r="19" spans="1:16" ht="18.5" x14ac:dyDescent="0.45">
      <c r="B19" s="268" t="s">
        <v>134</v>
      </c>
      <c r="C19" s="269">
        <v>300</v>
      </c>
      <c r="I19" s="286"/>
      <c r="J19" s="297" t="s">
        <v>69</v>
      </c>
      <c r="K19" s="297">
        <f>K18</f>
        <v>1000000</v>
      </c>
      <c r="L19" s="295" t="str">
        <f>IF(AND($K$4&gt;=K19,$K$4&lt;=K20),N19,O19)</f>
        <v>No</v>
      </c>
      <c r="M19" s="297">
        <v>16750</v>
      </c>
      <c r="N19" s="297" t="s">
        <v>63</v>
      </c>
      <c r="O19" s="298" t="s">
        <v>73</v>
      </c>
      <c r="P19" s="283"/>
    </row>
    <row r="20" spans="1:16" ht="18.5" x14ac:dyDescent="0.45">
      <c r="B20" s="272" t="s">
        <v>135</v>
      </c>
      <c r="C20" s="271">
        <v>0</v>
      </c>
      <c r="I20" s="286"/>
      <c r="J20" s="297"/>
      <c r="K20" s="297">
        <v>1250000</v>
      </c>
      <c r="L20" s="295"/>
      <c r="M20" s="297"/>
      <c r="N20" s="296"/>
      <c r="O20" s="298"/>
      <c r="P20" s="283"/>
    </row>
    <row r="21" spans="1:16" ht="18.5" x14ac:dyDescent="0.45">
      <c r="B21" s="268" t="s">
        <v>144</v>
      </c>
      <c r="C21" s="269">
        <v>250</v>
      </c>
      <c r="I21" s="286"/>
      <c r="J21" s="297" t="s">
        <v>70</v>
      </c>
      <c r="K21" s="297">
        <f>K20</f>
        <v>1250000</v>
      </c>
      <c r="L21" s="295" t="str">
        <f>IF(AND($K$4&gt;=K21,$K$4&lt;=K22),N21,O21)</f>
        <v>No</v>
      </c>
      <c r="M21" s="297">
        <v>19000</v>
      </c>
      <c r="N21" s="297" t="s">
        <v>63</v>
      </c>
      <c r="O21" s="298" t="s">
        <v>73</v>
      </c>
      <c r="P21" s="283"/>
    </row>
    <row r="22" spans="1:16" ht="18.5" x14ac:dyDescent="0.45">
      <c r="B22" s="272" t="s">
        <v>136</v>
      </c>
      <c r="C22" s="271">
        <v>200</v>
      </c>
      <c r="I22" s="286"/>
      <c r="J22" s="297"/>
      <c r="K22" s="297">
        <v>1500000</v>
      </c>
      <c r="L22" s="295"/>
      <c r="M22" s="297"/>
      <c r="N22" s="296"/>
      <c r="O22" s="298"/>
      <c r="P22" s="283"/>
    </row>
    <row r="23" spans="1:16" ht="18.5" x14ac:dyDescent="0.45">
      <c r="B23" s="268" t="s">
        <v>137</v>
      </c>
      <c r="C23" s="269">
        <v>0</v>
      </c>
      <c r="I23" s="286"/>
      <c r="J23" s="297" t="s">
        <v>71</v>
      </c>
      <c r="K23" s="297">
        <f>K22</f>
        <v>1500000</v>
      </c>
      <c r="L23" s="295" t="str">
        <f>IF(AND($K$4&gt;=K23,$K$4&lt;=K24),N23,O23)</f>
        <v>No</v>
      </c>
      <c r="M23" s="297">
        <v>20500</v>
      </c>
      <c r="N23" s="297" t="s">
        <v>63</v>
      </c>
      <c r="O23" s="298" t="s">
        <v>73</v>
      </c>
      <c r="P23" s="283"/>
    </row>
    <row r="24" spans="1:16" ht="18.5" x14ac:dyDescent="0.45">
      <c r="B24" s="272" t="s">
        <v>138</v>
      </c>
      <c r="C24" s="271">
        <v>0</v>
      </c>
      <c r="I24" s="286"/>
      <c r="J24" s="297"/>
      <c r="K24" s="297">
        <v>2000000</v>
      </c>
      <c r="L24" s="295"/>
      <c r="M24" s="296"/>
      <c r="N24" s="296"/>
      <c r="O24" s="298"/>
      <c r="P24" s="283"/>
    </row>
    <row r="25" spans="1:16" ht="19" thickBot="1" x14ac:dyDescent="0.5">
      <c r="B25" s="273" t="s">
        <v>139</v>
      </c>
      <c r="C25" s="274">
        <v>0</v>
      </c>
      <c r="I25" s="286"/>
      <c r="J25" s="297" t="s">
        <v>72</v>
      </c>
      <c r="K25" s="297">
        <f>K24</f>
        <v>2000000</v>
      </c>
      <c r="L25" s="295" t="str">
        <f>IF(AND($K$4&gt;=K25,$K$4&lt;=K26),N25,O25)</f>
        <v>No</v>
      </c>
      <c r="M25" s="297">
        <v>27500</v>
      </c>
      <c r="N25" s="297" t="s">
        <v>63</v>
      </c>
      <c r="O25" s="298" t="s">
        <v>73</v>
      </c>
      <c r="P25" s="283"/>
    </row>
    <row r="26" spans="1:16" ht="15.5" x14ac:dyDescent="0.35">
      <c r="B26" s="275"/>
      <c r="C26" s="276"/>
      <c r="D26" s="276"/>
      <c r="E26" s="276"/>
      <c r="I26" s="286"/>
      <c r="J26" s="297"/>
      <c r="K26" s="297">
        <v>500000000</v>
      </c>
      <c r="L26" s="295"/>
      <c r="M26" s="296"/>
      <c r="N26" s="296"/>
      <c r="O26" s="298"/>
      <c r="P26" s="283"/>
    </row>
    <row r="27" spans="1:16" ht="15.5" x14ac:dyDescent="0.35">
      <c r="A27" s="277"/>
      <c r="B27" s="278"/>
      <c r="C27" s="276"/>
      <c r="D27" s="276"/>
      <c r="E27" s="259"/>
      <c r="I27" s="286"/>
      <c r="J27" s="297" t="s">
        <v>114</v>
      </c>
      <c r="K27" s="297">
        <f>IF(L7="Yes",M7)+IF(L9="Yes",M9)+IF(L11="Yes",M11)+IF(L13="Yes",M13)+IF(L15="Yes",M15)+IF(L17="Yes",M17)+IF(L19="Yes",M19)+IF(L21="Yes",M21)+IF(L23="Yes",M23)</f>
        <v>5000</v>
      </c>
      <c r="L27" s="299"/>
      <c r="M27" s="296"/>
      <c r="N27" s="296"/>
      <c r="O27" s="298"/>
      <c r="P27" s="283"/>
    </row>
    <row r="28" spans="1:16" ht="15.5" x14ac:dyDescent="0.35">
      <c r="A28" s="277"/>
      <c r="B28" s="278"/>
      <c r="C28" s="276"/>
      <c r="D28" s="276"/>
      <c r="E28" s="259"/>
      <c r="I28" s="286"/>
      <c r="J28" s="297"/>
      <c r="K28" s="296"/>
      <c r="L28" s="299"/>
      <c r="M28" s="296"/>
      <c r="N28" s="296"/>
      <c r="O28" s="298"/>
      <c r="P28" s="283"/>
    </row>
    <row r="29" spans="1:16" ht="15.5" x14ac:dyDescent="0.35">
      <c r="A29" s="279"/>
      <c r="B29" s="278"/>
      <c r="C29" s="276"/>
      <c r="D29" s="276"/>
      <c r="E29" s="259"/>
      <c r="J29" s="294"/>
      <c r="K29" s="294"/>
      <c r="L29" s="294"/>
      <c r="M29" s="300" t="s">
        <v>130</v>
      </c>
      <c r="N29" s="294"/>
      <c r="O29" s="294"/>
    </row>
    <row r="30" spans="1:16" ht="15.5" x14ac:dyDescent="0.35">
      <c r="A30" s="280"/>
      <c r="B30" s="278"/>
      <c r="C30" s="276"/>
      <c r="D30" s="276"/>
      <c r="E30" s="259"/>
      <c r="J30" s="294"/>
      <c r="K30" s="294"/>
      <c r="L30" s="294"/>
      <c r="M30" s="301">
        <f t="shared" ref="M30:M35" si="0">+C15/250+IF(C15=0,1)</f>
        <v>1</v>
      </c>
      <c r="N30" s="294"/>
      <c r="O30" s="294"/>
    </row>
    <row r="31" spans="1:16" ht="15.5" x14ac:dyDescent="0.35">
      <c r="A31" s="280"/>
      <c r="B31" s="278"/>
      <c r="C31" s="276"/>
      <c r="D31" s="276"/>
      <c r="E31" s="259"/>
      <c r="J31" s="294"/>
      <c r="K31" s="294"/>
      <c r="L31" s="294"/>
      <c r="M31" s="301">
        <f t="shared" si="0"/>
        <v>1.2</v>
      </c>
      <c r="N31" s="294"/>
      <c r="O31" s="294"/>
    </row>
    <row r="32" spans="1:16" ht="15.5" x14ac:dyDescent="0.35">
      <c r="A32" s="279"/>
      <c r="B32" s="278"/>
      <c r="C32" s="276"/>
      <c r="D32" s="276"/>
      <c r="E32" s="259"/>
      <c r="J32" s="294"/>
      <c r="K32" s="294"/>
      <c r="L32" s="294"/>
      <c r="M32" s="301">
        <f t="shared" si="0"/>
        <v>1</v>
      </c>
      <c r="N32" s="294"/>
      <c r="O32" s="294"/>
    </row>
    <row r="33" spans="1:15" ht="15.5" x14ac:dyDescent="0.35">
      <c r="A33" s="280"/>
      <c r="B33" s="278"/>
      <c r="C33" s="276"/>
      <c r="D33" s="276"/>
      <c r="E33" s="259"/>
      <c r="J33" s="294"/>
      <c r="K33" s="294"/>
      <c r="L33" s="294"/>
      <c r="M33" s="301">
        <f t="shared" si="0"/>
        <v>1.2</v>
      </c>
      <c r="N33" s="294"/>
      <c r="O33" s="294"/>
    </row>
    <row r="34" spans="1:15" ht="15.5" x14ac:dyDescent="0.35">
      <c r="A34" s="280"/>
      <c r="B34" s="278"/>
      <c r="C34" s="276"/>
      <c r="D34" s="276"/>
      <c r="E34" s="259"/>
      <c r="J34" s="294"/>
      <c r="K34" s="294"/>
      <c r="L34" s="294"/>
      <c r="M34" s="301">
        <f t="shared" si="0"/>
        <v>1.2</v>
      </c>
      <c r="N34" s="294"/>
      <c r="O34" s="294"/>
    </row>
    <row r="35" spans="1:15" ht="15.5" x14ac:dyDescent="0.35">
      <c r="A35" s="279"/>
      <c r="B35" s="278"/>
      <c r="C35" s="276"/>
      <c r="D35" s="276"/>
      <c r="E35" s="259"/>
      <c r="J35" s="294"/>
      <c r="K35" s="294"/>
      <c r="L35" s="294"/>
      <c r="M35" s="301">
        <f t="shared" si="0"/>
        <v>1</v>
      </c>
      <c r="N35" s="294"/>
      <c r="O35" s="294"/>
    </row>
    <row r="36" spans="1:15" ht="15.5" x14ac:dyDescent="0.35">
      <c r="A36" s="280"/>
      <c r="B36" s="278"/>
      <c r="C36" s="276"/>
      <c r="D36" s="276"/>
      <c r="E36" s="259"/>
      <c r="J36" s="294"/>
      <c r="K36" s="294"/>
      <c r="L36" s="294"/>
      <c r="M36" s="301">
        <f>+C21/220+IF(C21=0,1)</f>
        <v>1.1363636363636365</v>
      </c>
      <c r="N36" s="294"/>
      <c r="O36" s="294"/>
    </row>
    <row r="37" spans="1:15" ht="15.5" x14ac:dyDescent="0.35">
      <c r="A37" s="280"/>
      <c r="B37" s="278"/>
      <c r="C37" s="276"/>
      <c r="D37" s="276"/>
      <c r="E37" s="259"/>
      <c r="J37" s="294"/>
      <c r="K37" s="294"/>
      <c r="L37" s="294"/>
      <c r="M37" s="301">
        <f>+C22/150+IF(C22=0,1)</f>
        <v>1.3333333333333333</v>
      </c>
      <c r="N37" s="294"/>
      <c r="O37" s="294"/>
    </row>
    <row r="38" spans="1:15" ht="15.5" x14ac:dyDescent="0.35">
      <c r="A38" s="279"/>
      <c r="B38" s="278"/>
      <c r="C38" s="276"/>
      <c r="D38" s="276"/>
      <c r="E38" s="259"/>
      <c r="J38" s="294"/>
      <c r="K38" s="294"/>
      <c r="L38" s="294"/>
      <c r="M38" s="301">
        <f>+C23/220+IF(C23=0,1)</f>
        <v>1</v>
      </c>
      <c r="N38" s="294"/>
      <c r="O38" s="294"/>
    </row>
    <row r="39" spans="1:15" ht="15.5" x14ac:dyDescent="0.35">
      <c r="A39" s="280"/>
      <c r="B39" s="278"/>
      <c r="C39" s="276"/>
      <c r="D39" s="276"/>
      <c r="E39" s="259"/>
      <c r="J39" s="294"/>
      <c r="K39" s="294"/>
      <c r="L39" s="294"/>
      <c r="M39" s="301">
        <f>+C24/400+IF(C24=0,1)</f>
        <v>1</v>
      </c>
      <c r="N39" s="294"/>
      <c r="O39" s="294"/>
    </row>
    <row r="40" spans="1:15" ht="15.5" x14ac:dyDescent="0.35">
      <c r="A40" s="280"/>
      <c r="B40" s="278"/>
      <c r="C40" s="276"/>
      <c r="D40" s="276"/>
      <c r="E40" s="259"/>
      <c r="J40" s="294"/>
      <c r="K40" s="294"/>
      <c r="L40" s="294"/>
      <c r="M40" s="301">
        <f>+C25/400+IF(C25=0,1)</f>
        <v>1</v>
      </c>
      <c r="N40" s="294"/>
      <c r="O40" s="294"/>
    </row>
    <row r="41" spans="1:15" ht="15.5" x14ac:dyDescent="0.35">
      <c r="A41" s="279"/>
      <c r="B41" s="278"/>
      <c r="C41" s="276"/>
      <c r="D41" s="276"/>
      <c r="E41" s="259"/>
      <c r="J41" s="302"/>
      <c r="K41" s="302"/>
      <c r="L41" s="302"/>
      <c r="M41" s="302"/>
      <c r="N41" s="302"/>
      <c r="O41" s="302"/>
    </row>
    <row r="42" spans="1:15" x14ac:dyDescent="0.35">
      <c r="J42" s="302"/>
      <c r="K42" s="302"/>
      <c r="L42" s="302"/>
      <c r="M42" s="302"/>
      <c r="N42" s="302"/>
      <c r="O42" s="302"/>
    </row>
    <row r="44" spans="1:15" ht="15.5" x14ac:dyDescent="0.35">
      <c r="J44" s="280"/>
      <c r="K44" s="284"/>
      <c r="L44" s="285"/>
      <c r="M44" s="285"/>
      <c r="N44" s="286"/>
    </row>
    <row r="45" spans="1:15" ht="15.5" x14ac:dyDescent="0.35">
      <c r="J45" s="280"/>
      <c r="K45" s="284"/>
      <c r="L45" s="285"/>
      <c r="M45" s="285"/>
      <c r="N45" s="286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3574D1-0E39-46F3-B144-49DB8EB3B7E4}">
  <ds:schemaRefs>
    <ds:schemaRef ds:uri="http://purl.org/dc/elements/1.1/"/>
    <ds:schemaRef ds:uri="91608d5a-29bd-4871-a2f6-96bef51a658f"/>
    <ds:schemaRef ds:uri="http://purl.org/dc/dcmitype/"/>
    <ds:schemaRef ds:uri="http://purl.org/dc/terms/"/>
    <ds:schemaRef ds:uri="c197f9b3-50a5-436b-858b-9c6a1acde426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4426B5-66A5-4561-AC7E-BE63C08454A0}">
  <ds:schemaRefs>
    <ds:schemaRef ds:uri="http://www.w3.org/2001/XMLSchema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12</vt:i4>
      </vt:variant>
    </vt:vector>
  </HeadingPairs>
  <TitlesOfParts>
    <vt:vector size="28" baseType="lpstr">
      <vt:lpstr>Cover</vt:lpstr>
      <vt:lpstr>Qual, Excl &amp; Assum</vt:lpstr>
      <vt:lpstr>Documents</vt:lpstr>
      <vt:lpstr>Summary</vt:lpstr>
      <vt:lpstr>Structural Steelwork</vt:lpstr>
      <vt:lpstr>Windows, Doors &amp; Rooflights</vt:lpstr>
      <vt:lpstr>Partitions</vt:lpstr>
      <vt:lpstr>Joinery</vt:lpstr>
      <vt:lpstr>Decoration</vt:lpstr>
      <vt:lpstr>Floor finishes</vt:lpstr>
      <vt:lpstr>Wall finishes</vt:lpstr>
      <vt:lpstr>Kitchens &amp; Bathrooms</vt:lpstr>
      <vt:lpstr>Electrical</vt:lpstr>
      <vt:lpstr>Mechanical</vt:lpstr>
      <vt:lpstr>Material Takeoff Sheet</vt:lpstr>
      <vt:lpstr>Details</vt:lpstr>
      <vt:lpstr>Cover!Print_Area</vt:lpstr>
      <vt:lpstr>Decoration!Print_Area</vt:lpstr>
      <vt:lpstr>Electrical!Print_Area</vt:lpstr>
      <vt:lpstr>'Floor finishes'!Print_Area</vt:lpstr>
      <vt:lpstr>Joinery!Print_Area</vt:lpstr>
      <vt:lpstr>'Kitchens &amp; Bathrooms'!Print_Area</vt:lpstr>
      <vt:lpstr>Mechanical!Print_Area</vt:lpstr>
      <vt:lpstr>Partitions!Print_Area</vt:lpstr>
      <vt:lpstr>'Structural Steelwork'!Print_Area</vt:lpstr>
      <vt:lpstr>Summary!Print_Area</vt:lpstr>
      <vt:lpstr>'Wall finishes'!Print_Area</vt:lpstr>
      <vt:lpstr>'Windows, Doors &amp; Rooflights'!Print_Area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COMET</cp:lastModifiedBy>
  <cp:lastPrinted>2025-07-27T18:26:52Z</cp:lastPrinted>
  <dcterms:created xsi:type="dcterms:W3CDTF">2009-09-18T08:39:19Z</dcterms:created>
  <dcterms:modified xsi:type="dcterms:W3CDTF">2025-10-29T11:56:38Z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{DC4426B5-66A5-4561-AC7E-BE63C08454A0}</vt:lpwstr>
  </property>
</Properties>
</file>