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trlProps/ctrlProp1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COMET\Downloads\"/>
    </mc:Choice>
  </mc:AlternateContent>
  <xr:revisionPtr revIDLastSave="0" documentId="8_{75695B97-A41A-4E22-B02D-CB9DB860BAD6}" xr6:coauthVersionLast="36" xr6:coauthVersionMax="36" xr10:uidLastSave="{00000000-0000-0000-0000-000000000000}"/>
  <bookViews>
    <workbookView xWindow="0" yWindow="0" windowWidth="19200" windowHeight="6810" tabRatio="868" xr2:uid="{00000000-000D-0000-FFFF-FFFF00000000}"/>
  </bookViews>
  <sheets>
    <sheet name="Cover" sheetId="87" r:id="rId1"/>
    <sheet name="Qual, Excl &amp; Assum" sheetId="95" r:id="rId2"/>
    <sheet name="Documents" sheetId="108" r:id="rId3"/>
    <sheet name="Summary" sheetId="109" r:id="rId4"/>
    <sheet name="Demolition" sheetId="79" r:id="rId5"/>
    <sheet name="Superstructure" sheetId="101" r:id="rId6"/>
    <sheet name="Structural Steelwork" sheetId="107" r:id="rId7"/>
    <sheet name="Windows, Doors &amp; Rooflights" sheetId="110" r:id="rId8"/>
    <sheet name="Partitions" sheetId="77" r:id="rId9"/>
    <sheet name="Joinery" sheetId="90" r:id="rId10"/>
    <sheet name="Decoration" sheetId="91" r:id="rId11"/>
    <sheet name="Floor finishes" sheetId="92" r:id="rId12"/>
    <sheet name="Wall finishes" sheetId="106" r:id="rId13"/>
    <sheet name="Kitchen &amp; Bathrooms " sheetId="82" r:id="rId14"/>
    <sheet name="Electrical" sheetId="93" r:id="rId15"/>
    <sheet name="Mechanical" sheetId="78" r:id="rId16"/>
    <sheet name="Preliminaries" sheetId="97" r:id="rId17"/>
    <sheet name="Details" sheetId="111" r:id="rId18"/>
  </sheets>
  <externalReferences>
    <externalReference r:id="rId19"/>
  </externalReferences>
  <definedNames>
    <definedName name="_xlnm._FilterDatabase" localSheetId="10" hidden="1">Decoration!$A$7:$N$20</definedName>
    <definedName name="_xlnm._FilterDatabase" localSheetId="4" hidden="1">Demolition!$A$7:$N$29</definedName>
    <definedName name="_xlnm._FilterDatabase" localSheetId="14" hidden="1">Electrical!$A$11:$N$19</definedName>
    <definedName name="_xlnm._FilterDatabase" localSheetId="11" hidden="1">'Floor finishes'!$A$11:$N$16</definedName>
    <definedName name="_xlnm._FilterDatabase" localSheetId="9" hidden="1">Joinery!$A$9:$N$16</definedName>
    <definedName name="_xlnm._FilterDatabase" localSheetId="13" hidden="1">'Kitchen &amp; Bathrooms '!$A$11:$N$16</definedName>
    <definedName name="_xlnm._FilterDatabase" localSheetId="15" hidden="1">Mechanical!$A$11:$G$17</definedName>
    <definedName name="_xlnm._FilterDatabase" localSheetId="8" hidden="1">Partitions!$A$13:$N$70</definedName>
    <definedName name="_xlnm._FilterDatabase" localSheetId="16" hidden="1">Preliminaries!$A$9:$H$21</definedName>
    <definedName name="_xlnm._FilterDatabase" localSheetId="6" hidden="1">'Structural Steelwork'!$A$14:$N$16</definedName>
    <definedName name="_xlnm._FilterDatabase" localSheetId="5" hidden="1">Superstructure!$A$7:$N$29</definedName>
    <definedName name="_xlnm._FilterDatabase" localSheetId="12" hidden="1">'Wall finishes'!$A$11:$N$15</definedName>
    <definedName name="_xlnm._FilterDatabase" localSheetId="7" hidden="1">'Windows, Doors &amp; Rooflights'!$A$10:$N$17</definedName>
    <definedName name="_xlnm.Print_Area" localSheetId="0">Cover!$A$1:$T$66</definedName>
    <definedName name="_xlnm.Print_Area" localSheetId="10">Decoration!$A$1:$N$24</definedName>
    <definedName name="_xlnm.Print_Area" localSheetId="4">Demolition!$A$1:$N$33</definedName>
    <definedName name="_xlnm.Print_Area" localSheetId="14">Electrical!$A$1:$N$19</definedName>
    <definedName name="_xlnm.Print_Area" localSheetId="11">'Floor finishes'!$A$1:$N$16</definedName>
    <definedName name="_xlnm.Print_Area" localSheetId="9">Joinery!$A$1:$N$19</definedName>
    <definedName name="_xlnm.Print_Area" localSheetId="13">'Kitchen &amp; Bathrooms '!$A$1:$N$19</definedName>
    <definedName name="_xlnm.Print_Area" localSheetId="15">Mechanical!$A$1:$N$17</definedName>
    <definedName name="_xlnm.Print_Area" localSheetId="8">Partitions!$A$1:$N$70</definedName>
    <definedName name="_xlnm.Print_Area" localSheetId="16">Preliminaries!$A$1:$H$25</definedName>
    <definedName name="_xlnm.Print_Area" localSheetId="6">'Structural Steelwork'!$A$1:$N$16</definedName>
    <definedName name="_xlnm.Print_Area" localSheetId="3">Summary!$A$1:$M$39</definedName>
    <definedName name="_xlnm.Print_Area" localSheetId="5">Superstructure!$A$1:$N$29</definedName>
    <definedName name="_xlnm.Print_Area" localSheetId="12">'Wall finishes'!$A$1:$N$15</definedName>
    <definedName name="_xlnm.Print_Area" localSheetId="7">'Windows, Doors &amp; Rooflights'!$A$1:$N$17</definedName>
  </definedNames>
  <calcPr calcId="191029"/>
</workbook>
</file>

<file path=xl/calcChain.xml><?xml version="1.0" encoding="utf-8"?>
<calcChain xmlns="http://schemas.openxmlformats.org/spreadsheetml/2006/main">
  <c r="F10" i="97" l="1"/>
  <c r="F24" i="97"/>
  <c r="N16" i="78"/>
  <c r="M16" i="78"/>
  <c r="L16" i="78"/>
  <c r="K16" i="78"/>
  <c r="F16" i="78"/>
  <c r="N18" i="93"/>
  <c r="M18" i="93"/>
  <c r="L18" i="93"/>
  <c r="K18" i="93"/>
  <c r="F18" i="93"/>
  <c r="N18" i="82"/>
  <c r="M18" i="82"/>
  <c r="L18" i="82"/>
  <c r="K18" i="82"/>
  <c r="F18" i="82"/>
  <c r="N14" i="106"/>
  <c r="M14" i="106"/>
  <c r="L14" i="106"/>
  <c r="K14" i="106"/>
  <c r="F14" i="106"/>
  <c r="B3" i="109"/>
  <c r="B2" i="109"/>
  <c r="B3" i="95"/>
  <c r="B2" i="95"/>
  <c r="F23" i="91" l="1"/>
  <c r="F16" i="90"/>
  <c r="F15" i="90"/>
  <c r="F11" i="90"/>
  <c r="K15" i="91"/>
  <c r="K20" i="91"/>
  <c r="K15" i="90"/>
  <c r="I16" i="77"/>
  <c r="I22" i="77"/>
  <c r="I23" i="77"/>
  <c r="I24" i="77"/>
  <c r="I25" i="77"/>
  <c r="I32" i="77"/>
  <c r="I33" i="77"/>
  <c r="I34" i="77"/>
  <c r="I42" i="77"/>
  <c r="I14" i="101"/>
  <c r="A15" i="101"/>
  <c r="A16" i="101"/>
  <c r="A18" i="101"/>
  <c r="A19" i="101"/>
  <c r="A20" i="101"/>
  <c r="A23" i="101"/>
  <c r="A24" i="101"/>
  <c r="A25" i="101"/>
  <c r="L5" i="109"/>
  <c r="C21" i="77"/>
  <c r="L21" i="77" s="1"/>
  <c r="A21" i="79"/>
  <c r="A22" i="79"/>
  <c r="A23" i="79"/>
  <c r="L16" i="82"/>
  <c r="K16" i="82"/>
  <c r="J16" i="82"/>
  <c r="N16" i="82" s="1"/>
  <c r="I16" i="82"/>
  <c r="M16" i="82" s="1"/>
  <c r="L15" i="82"/>
  <c r="K15" i="82"/>
  <c r="J15" i="82"/>
  <c r="N15" i="82" s="1"/>
  <c r="I15" i="82"/>
  <c r="M15" i="82" s="1"/>
  <c r="L12" i="92"/>
  <c r="K12" i="92"/>
  <c r="J12" i="92"/>
  <c r="N12" i="92" s="1"/>
  <c r="I12" i="92"/>
  <c r="M12" i="92" s="1"/>
  <c r="L20" i="91"/>
  <c r="J20" i="91"/>
  <c r="N20" i="91" s="1"/>
  <c r="L19" i="91"/>
  <c r="K19" i="91"/>
  <c r="J19" i="91"/>
  <c r="N19" i="91" s="1"/>
  <c r="I19" i="91"/>
  <c r="E19" i="91" s="1"/>
  <c r="F19" i="91" s="1"/>
  <c r="L15" i="91"/>
  <c r="J15" i="91"/>
  <c r="N15" i="91" s="1"/>
  <c r="F18" i="90"/>
  <c r="L16" i="90"/>
  <c r="K16" i="90"/>
  <c r="J16" i="90"/>
  <c r="N16" i="90" s="1"/>
  <c r="I16" i="90"/>
  <c r="M16" i="90" s="1"/>
  <c r="L15" i="90"/>
  <c r="J15" i="90"/>
  <c r="N15" i="90" s="1"/>
  <c r="I15" i="90"/>
  <c r="M15" i="90" s="1"/>
  <c r="A18" i="77"/>
  <c r="A19" i="77"/>
  <c r="A20" i="77"/>
  <c r="A27" i="77"/>
  <c r="A28" i="77"/>
  <c r="A29" i="77"/>
  <c r="A36" i="77"/>
  <c r="A37" i="77"/>
  <c r="A38" i="77"/>
  <c r="A43" i="77"/>
  <c r="A44" i="77"/>
  <c r="A45" i="77"/>
  <c r="A49" i="77"/>
  <c r="A50" i="77"/>
  <c r="A51" i="77"/>
  <c r="A57" i="77"/>
  <c r="A58" i="77"/>
  <c r="A59" i="77"/>
  <c r="A62" i="77"/>
  <c r="A63" i="77"/>
  <c r="A64" i="77"/>
  <c r="C56" i="77"/>
  <c r="K56" i="77" s="1"/>
  <c r="J56" i="77"/>
  <c r="I56" i="77"/>
  <c r="C55" i="77"/>
  <c r="C54" i="77"/>
  <c r="C53" i="77"/>
  <c r="C52" i="77"/>
  <c r="J42" i="77"/>
  <c r="J41" i="77"/>
  <c r="I41" i="77"/>
  <c r="J40" i="77"/>
  <c r="I40" i="77"/>
  <c r="J39" i="77"/>
  <c r="I39" i="77"/>
  <c r="J35" i="77"/>
  <c r="I35" i="77"/>
  <c r="J34" i="77"/>
  <c r="J33" i="77"/>
  <c r="J32" i="77"/>
  <c r="J31" i="77"/>
  <c r="I31" i="77"/>
  <c r="J30" i="77"/>
  <c r="I30" i="77"/>
  <c r="J26" i="77"/>
  <c r="I26" i="77"/>
  <c r="J25" i="77"/>
  <c r="J24" i="77"/>
  <c r="J23" i="77"/>
  <c r="J22" i="77"/>
  <c r="J21" i="77"/>
  <c r="I21" i="77"/>
  <c r="J17" i="77"/>
  <c r="I17" i="77"/>
  <c r="J16" i="77"/>
  <c r="J15" i="77"/>
  <c r="I15" i="77"/>
  <c r="J14" i="77"/>
  <c r="I14" i="77"/>
  <c r="J13" i="77"/>
  <c r="I13" i="77"/>
  <c r="C42" i="77"/>
  <c r="C41" i="77"/>
  <c r="C40" i="77"/>
  <c r="L40" i="77" s="1"/>
  <c r="C39" i="77"/>
  <c r="K39" i="77" s="1"/>
  <c r="C35" i="77"/>
  <c r="C34" i="77"/>
  <c r="C33" i="77"/>
  <c r="C32" i="77"/>
  <c r="C31" i="77"/>
  <c r="C30" i="77"/>
  <c r="L30" i="77" s="1"/>
  <c r="C26" i="77"/>
  <c r="K26" i="77" s="1"/>
  <c r="C25" i="77"/>
  <c r="L25" i="77" s="1"/>
  <c r="C24" i="77"/>
  <c r="C23" i="77"/>
  <c r="L23" i="77" s="1"/>
  <c r="C22" i="77"/>
  <c r="L22" i="77" s="1"/>
  <c r="C17" i="77"/>
  <c r="K17" i="77" s="1"/>
  <c r="C16" i="77"/>
  <c r="L16" i="77" s="1"/>
  <c r="C15" i="77"/>
  <c r="L15" i="77" s="1"/>
  <c r="C14" i="77"/>
  <c r="K14" i="77" s="1"/>
  <c r="C13" i="77"/>
  <c r="L13" i="77" s="1"/>
  <c r="L14" i="101"/>
  <c r="K14" i="101"/>
  <c r="J14" i="101"/>
  <c r="L13" i="101"/>
  <c r="K13" i="101"/>
  <c r="J13" i="101"/>
  <c r="N13" i="101" s="1"/>
  <c r="I13" i="101"/>
  <c r="M13" i="101" s="1"/>
  <c r="C14" i="101"/>
  <c r="C17" i="101"/>
  <c r="C22" i="101"/>
  <c r="L20" i="79"/>
  <c r="K20" i="79"/>
  <c r="J20" i="79"/>
  <c r="N20" i="79" s="1"/>
  <c r="I20" i="79"/>
  <c r="E20" i="79" s="1"/>
  <c r="F20" i="79" s="1"/>
  <c r="L19" i="79"/>
  <c r="K19" i="79"/>
  <c r="J19" i="79"/>
  <c r="N19" i="79" s="1"/>
  <c r="I19" i="79"/>
  <c r="M19" i="79" s="1"/>
  <c r="L18" i="79"/>
  <c r="K18" i="79"/>
  <c r="J18" i="79"/>
  <c r="I18" i="79"/>
  <c r="M18" i="79" s="1"/>
  <c r="L17" i="79"/>
  <c r="K17" i="79"/>
  <c r="J17" i="79"/>
  <c r="I17" i="79"/>
  <c r="M17" i="79" s="1"/>
  <c r="L16" i="79"/>
  <c r="K16" i="79"/>
  <c r="J16" i="79"/>
  <c r="N16" i="79" s="1"/>
  <c r="I16" i="79"/>
  <c r="M16" i="79" s="1"/>
  <c r="C14" i="79"/>
  <c r="C13" i="79"/>
  <c r="M41" i="77" l="1"/>
  <c r="M19" i="91"/>
  <c r="I20" i="91"/>
  <c r="M20" i="91" s="1"/>
  <c r="I15" i="91"/>
  <c r="M15" i="91" s="1"/>
  <c r="E20" i="91"/>
  <c r="F20" i="91" s="1"/>
  <c r="K24" i="77"/>
  <c r="K31" i="77"/>
  <c r="K32" i="77"/>
  <c r="K35" i="77"/>
  <c r="M14" i="101"/>
  <c r="E14" i="101"/>
  <c r="F14" i="101" s="1"/>
  <c r="M20" i="79"/>
  <c r="E16" i="82"/>
  <c r="F16" i="82" s="1"/>
  <c r="E15" i="82"/>
  <c r="F15" i="82" s="1"/>
  <c r="E12" i="92"/>
  <c r="F12" i="92" s="1"/>
  <c r="A12" i="92" s="1"/>
  <c r="E15" i="90"/>
  <c r="E16" i="90"/>
  <c r="L56" i="77"/>
  <c r="M56" i="77"/>
  <c r="N16" i="77"/>
  <c r="E41" i="77"/>
  <c r="F41" i="77" s="1"/>
  <c r="N33" i="77"/>
  <c r="N34" i="77"/>
  <c r="M32" i="77"/>
  <c r="M40" i="77"/>
  <c r="L39" i="77"/>
  <c r="E30" i="77"/>
  <c r="F30" i="77" s="1"/>
  <c r="N30" i="77"/>
  <c r="E56" i="77"/>
  <c r="F56" i="77" s="1"/>
  <c r="N56" i="77"/>
  <c r="M42" i="77"/>
  <c r="E13" i="77"/>
  <c r="F13" i="77" s="1"/>
  <c r="N39" i="77"/>
  <c r="N31" i="77"/>
  <c r="N40" i="77"/>
  <c r="M35" i="77"/>
  <c r="E15" i="77"/>
  <c r="F15" i="77" s="1"/>
  <c r="N26" i="77"/>
  <c r="L32" i="77"/>
  <c r="N32" i="77"/>
  <c r="M16" i="77"/>
  <c r="M23" i="77"/>
  <c r="L26" i="77"/>
  <c r="N14" i="77"/>
  <c r="N17" i="77"/>
  <c r="N35" i="77"/>
  <c r="L17" i="77"/>
  <c r="L35" i="77"/>
  <c r="M21" i="77"/>
  <c r="E34" i="77"/>
  <c r="F34" i="77" s="1"/>
  <c r="K15" i="77"/>
  <c r="M39" i="77"/>
  <c r="E16" i="77"/>
  <c r="F16" i="77" s="1"/>
  <c r="E39" i="77"/>
  <c r="F39" i="77" s="1"/>
  <c r="K41" i="77"/>
  <c r="M13" i="77"/>
  <c r="L14" i="77"/>
  <c r="N21" i="77"/>
  <c r="N23" i="77"/>
  <c r="N25" i="77"/>
  <c r="L31" i="77"/>
  <c r="E40" i="77"/>
  <c r="F40" i="77" s="1"/>
  <c r="L41" i="77"/>
  <c r="N13" i="77"/>
  <c r="K16" i="77"/>
  <c r="K21" i="77"/>
  <c r="K23" i="77"/>
  <c r="K25" i="77"/>
  <c r="K30" i="77"/>
  <c r="M31" i="77"/>
  <c r="E33" i="77"/>
  <c r="F33" i="77" s="1"/>
  <c r="K34" i="77"/>
  <c r="K40" i="77"/>
  <c r="E42" i="77"/>
  <c r="F42" i="77" s="1"/>
  <c r="L24" i="77"/>
  <c r="M25" i="77"/>
  <c r="K13" i="77"/>
  <c r="M15" i="77"/>
  <c r="L34" i="77"/>
  <c r="N41" i="77"/>
  <c r="K42" i="77"/>
  <c r="N15" i="77"/>
  <c r="M17" i="77"/>
  <c r="M22" i="77"/>
  <c r="M24" i="77"/>
  <c r="M26" i="77"/>
  <c r="M30" i="77"/>
  <c r="E32" i="77"/>
  <c r="F32" i="77" s="1"/>
  <c r="K33" i="77"/>
  <c r="M34" i="77"/>
  <c r="E35" i="77"/>
  <c r="F35" i="77" s="1"/>
  <c r="L42" i="77"/>
  <c r="N22" i="77"/>
  <c r="L33" i="77"/>
  <c r="E14" i="77"/>
  <c r="F14" i="77" s="1"/>
  <c r="N24" i="77"/>
  <c r="M14" i="77"/>
  <c r="K22" i="77"/>
  <c r="E31" i="77"/>
  <c r="F31" i="77" s="1"/>
  <c r="M33" i="77"/>
  <c r="N42" i="77"/>
  <c r="E21" i="77"/>
  <c r="F21" i="77" s="1"/>
  <c r="E22" i="77"/>
  <c r="F22" i="77" s="1"/>
  <c r="E23" i="77"/>
  <c r="F23" i="77" s="1"/>
  <c r="E24" i="77"/>
  <c r="F24" i="77" s="1"/>
  <c r="E25" i="77"/>
  <c r="F25" i="77" s="1"/>
  <c r="E26" i="77"/>
  <c r="F26" i="77" s="1"/>
  <c r="E17" i="77"/>
  <c r="F17" i="77" s="1"/>
  <c r="N14" i="101"/>
  <c r="E13" i="101"/>
  <c r="F13" i="101" s="1"/>
  <c r="E17" i="79"/>
  <c r="F17" i="79" s="1"/>
  <c r="E18" i="79"/>
  <c r="F18" i="79" s="1"/>
  <c r="N18" i="79"/>
  <c r="E16" i="79"/>
  <c r="F16" i="79" s="1"/>
  <c r="N17" i="79"/>
  <c r="E19" i="79"/>
  <c r="F19" i="79" s="1"/>
  <c r="L54" i="77"/>
  <c r="K54" i="77"/>
  <c r="J54" i="77"/>
  <c r="N54" i="77" s="1"/>
  <c r="I54" i="77"/>
  <c r="M54" i="77" s="1"/>
  <c r="L52" i="77"/>
  <c r="K52" i="77"/>
  <c r="J52" i="77"/>
  <c r="N52" i="77" s="1"/>
  <c r="I52" i="77"/>
  <c r="M52" i="77" s="1"/>
  <c r="L46" i="77"/>
  <c r="K46" i="77"/>
  <c r="J46" i="77"/>
  <c r="I46" i="77"/>
  <c r="M46" i="77" s="1"/>
  <c r="L47" i="77"/>
  <c r="K47" i="77"/>
  <c r="J47" i="77"/>
  <c r="N47" i="77" s="1"/>
  <c r="I47" i="77"/>
  <c r="M47" i="77" s="1"/>
  <c r="L48" i="77"/>
  <c r="K48" i="77"/>
  <c r="J48" i="77"/>
  <c r="N48" i="77" s="1"/>
  <c r="I48" i="77"/>
  <c r="M48" i="77" s="1"/>
  <c r="AK13" i="107"/>
  <c r="AJ13" i="107"/>
  <c r="AI13" i="107"/>
  <c r="AH13" i="107"/>
  <c r="AG13" i="107"/>
  <c r="AF13" i="107"/>
  <c r="L13" i="107"/>
  <c r="L15" i="107" s="1"/>
  <c r="K13" i="107"/>
  <c r="K15" i="107" s="1"/>
  <c r="J13" i="107"/>
  <c r="AM13" i="107" s="1"/>
  <c r="I13" i="107"/>
  <c r="AL13" i="107" s="1"/>
  <c r="Z11" i="107"/>
  <c r="A11" i="107"/>
  <c r="L26" i="101"/>
  <c r="K26" i="101"/>
  <c r="J26" i="101"/>
  <c r="N26" i="101" s="1"/>
  <c r="I26" i="101"/>
  <c r="M26" i="101" s="1"/>
  <c r="L22" i="101"/>
  <c r="K22" i="101"/>
  <c r="J22" i="101"/>
  <c r="N22" i="101" s="1"/>
  <c r="I22" i="101"/>
  <c r="M22" i="101" s="1"/>
  <c r="A9" i="101"/>
  <c r="A10" i="101"/>
  <c r="L17" i="101"/>
  <c r="K17" i="101"/>
  <c r="J17" i="101"/>
  <c r="N17" i="101" s="1"/>
  <c r="I17" i="101"/>
  <c r="M17" i="101" s="1"/>
  <c r="A30" i="79"/>
  <c r="L25" i="79"/>
  <c r="K25" i="79"/>
  <c r="J25" i="79"/>
  <c r="N25" i="79" s="1"/>
  <c r="I25" i="79"/>
  <c r="M25" i="79" s="1"/>
  <c r="L24" i="79"/>
  <c r="K24" i="79"/>
  <c r="J24" i="79"/>
  <c r="N24" i="79" s="1"/>
  <c r="I24" i="79"/>
  <c r="M24" i="79" s="1"/>
  <c r="L27" i="79"/>
  <c r="K27" i="79"/>
  <c r="J27" i="79"/>
  <c r="N27" i="79" s="1"/>
  <c r="I27" i="79"/>
  <c r="M27" i="79" s="1"/>
  <c r="L26" i="79"/>
  <c r="K26" i="79"/>
  <c r="J26" i="79"/>
  <c r="I26" i="79"/>
  <c r="M26" i="79" s="1"/>
  <c r="E15" i="91" l="1"/>
  <c r="F15" i="91" s="1"/>
  <c r="E46" i="77"/>
  <c r="F46" i="77" s="1"/>
  <c r="E54" i="77"/>
  <c r="F54" i="77" s="1"/>
  <c r="N46" i="77"/>
  <c r="E52" i="77"/>
  <c r="F52" i="77" s="1"/>
  <c r="E47" i="77"/>
  <c r="F47" i="77" s="1"/>
  <c r="E48" i="77"/>
  <c r="F48" i="77" s="1"/>
  <c r="M13" i="107"/>
  <c r="M15" i="107" s="1"/>
  <c r="N13" i="107"/>
  <c r="E13" i="107"/>
  <c r="AD13" i="107"/>
  <c r="E26" i="101"/>
  <c r="F26" i="101" s="1"/>
  <c r="E22" i="101"/>
  <c r="F22" i="101" s="1"/>
  <c r="E17" i="101"/>
  <c r="F17" i="101" s="1"/>
  <c r="E26" i="79"/>
  <c r="F26" i="79" s="1"/>
  <c r="E27" i="79"/>
  <c r="F27" i="79" s="1"/>
  <c r="E25" i="79"/>
  <c r="F25" i="79" s="1"/>
  <c r="E24" i="79"/>
  <c r="F24" i="79" s="1"/>
  <c r="N26" i="79"/>
  <c r="AE13" i="107" l="1"/>
  <c r="F13" i="107"/>
  <c r="F15" i="107" s="1"/>
  <c r="A17" i="90" l="1"/>
  <c r="L29" i="79" l="1"/>
  <c r="K29" i="79"/>
  <c r="J29" i="79"/>
  <c r="I29" i="79"/>
  <c r="M29" i="79" s="1"/>
  <c r="A12" i="106"/>
  <c r="A13" i="82"/>
  <c r="A14" i="82"/>
  <c r="E29" i="79" l="1"/>
  <c r="F29" i="79" s="1"/>
  <c r="N29" i="79"/>
  <c r="N9" i="90"/>
  <c r="N10" i="90"/>
  <c r="N12" i="90"/>
  <c r="N13" i="90"/>
  <c r="N14" i="90"/>
  <c r="N12" i="93"/>
  <c r="N13" i="93"/>
  <c r="N14" i="93"/>
  <c r="K53" i="77"/>
  <c r="A16" i="93"/>
  <c r="L15" i="93"/>
  <c r="K15" i="93"/>
  <c r="J15" i="93"/>
  <c r="N15" i="93" s="1"/>
  <c r="I15" i="93"/>
  <c r="M15" i="93" s="1"/>
  <c r="A18" i="91"/>
  <c r="L11" i="106"/>
  <c r="K11" i="106"/>
  <c r="J11" i="106"/>
  <c r="N11" i="106" s="1"/>
  <c r="I11" i="106"/>
  <c r="M11" i="106" s="1"/>
  <c r="A13" i="92"/>
  <c r="L55" i="77"/>
  <c r="K55" i="77"/>
  <c r="J55" i="77"/>
  <c r="I55" i="77"/>
  <c r="M55" i="77" s="1"/>
  <c r="L53" i="77"/>
  <c r="J53" i="77"/>
  <c r="A13" i="110"/>
  <c r="I13" i="110"/>
  <c r="M13" i="110" s="1"/>
  <c r="J13" i="110"/>
  <c r="N13" i="110" s="1"/>
  <c r="K13" i="110"/>
  <c r="L13" i="110"/>
  <c r="L21" i="101"/>
  <c r="K21" i="101"/>
  <c r="J21" i="101"/>
  <c r="I21" i="101"/>
  <c r="M21" i="101" s="1"/>
  <c r="I10" i="79"/>
  <c r="M10" i="79" s="1"/>
  <c r="J10" i="79"/>
  <c r="K10" i="79"/>
  <c r="L10" i="79"/>
  <c r="I11" i="79"/>
  <c r="M11" i="79" s="1"/>
  <c r="J11" i="79"/>
  <c r="K11" i="79"/>
  <c r="L11" i="79"/>
  <c r="I12" i="79"/>
  <c r="M12" i="79" s="1"/>
  <c r="J12" i="79"/>
  <c r="K12" i="79"/>
  <c r="L12" i="79"/>
  <c r="I13" i="79"/>
  <c r="J13" i="79"/>
  <c r="N13" i="79" s="1"/>
  <c r="K13" i="79"/>
  <c r="L13" i="79"/>
  <c r="I14" i="79"/>
  <c r="M14" i="79" s="1"/>
  <c r="J14" i="79"/>
  <c r="N14" i="79" s="1"/>
  <c r="K14" i="79"/>
  <c r="L14" i="79"/>
  <c r="I15" i="79"/>
  <c r="M15" i="79" s="1"/>
  <c r="J15" i="79"/>
  <c r="N15" i="79" s="1"/>
  <c r="K15" i="79"/>
  <c r="L15" i="79"/>
  <c r="I28" i="79"/>
  <c r="M28" i="79" s="1"/>
  <c r="J28" i="79"/>
  <c r="K28" i="79"/>
  <c r="L28" i="79"/>
  <c r="L32" i="79" l="1"/>
  <c r="K32" i="79"/>
  <c r="I53" i="77"/>
  <c r="M53" i="77" s="1"/>
  <c r="E15" i="93"/>
  <c r="F15" i="93" s="1"/>
  <c r="A15" i="93" s="1"/>
  <c r="E11" i="106"/>
  <c r="F11" i="106" s="1"/>
  <c r="E55" i="77"/>
  <c r="F55" i="77" s="1"/>
  <c r="N53" i="77"/>
  <c r="N55" i="77"/>
  <c r="E13" i="110"/>
  <c r="F13" i="110" s="1"/>
  <c r="E21" i="101"/>
  <c r="F21" i="101" s="1"/>
  <c r="N21" i="101"/>
  <c r="E10" i="79"/>
  <c r="F10" i="79" s="1"/>
  <c r="E12" i="79"/>
  <c r="F12" i="79" s="1"/>
  <c r="E11" i="79"/>
  <c r="F11" i="79" s="1"/>
  <c r="A11" i="79" s="1"/>
  <c r="N10" i="79"/>
  <c r="N11" i="79"/>
  <c r="N12" i="79"/>
  <c r="E28" i="79"/>
  <c r="F28" i="79" s="1"/>
  <c r="E13" i="79"/>
  <c r="F13" i="79" s="1"/>
  <c r="E14" i="79"/>
  <c r="F14" i="79" s="1"/>
  <c r="M13" i="79"/>
  <c r="M32" i="79" s="1"/>
  <c r="E15" i="79"/>
  <c r="F15" i="79" s="1"/>
  <c r="N28" i="79"/>
  <c r="F32" i="79" l="1"/>
  <c r="N32" i="79"/>
  <c r="A12" i="79"/>
  <c r="E53" i="77"/>
  <c r="F53" i="77" s="1"/>
  <c r="A13" i="78"/>
  <c r="A14" i="78"/>
  <c r="A15" i="78"/>
  <c r="L11" i="82"/>
  <c r="K11" i="82"/>
  <c r="J11" i="82"/>
  <c r="N11" i="82" s="1"/>
  <c r="I11" i="82"/>
  <c r="M11" i="82" s="1"/>
  <c r="A9" i="90"/>
  <c r="A10" i="90"/>
  <c r="A12" i="90"/>
  <c r="A13" i="90"/>
  <c r="A14" i="90"/>
  <c r="L11" i="90"/>
  <c r="L18" i="90" s="1"/>
  <c r="K11" i="90"/>
  <c r="K18" i="90" s="1"/>
  <c r="J11" i="90"/>
  <c r="N11" i="90" s="1"/>
  <c r="I11" i="90"/>
  <c r="M11" i="90" s="1"/>
  <c r="A66" i="77"/>
  <c r="L65" i="77"/>
  <c r="K65" i="77"/>
  <c r="J65" i="77"/>
  <c r="N65" i="77" s="1"/>
  <c r="I65" i="77"/>
  <c r="M65" i="77" s="1"/>
  <c r="L61" i="77"/>
  <c r="K61" i="77"/>
  <c r="J61" i="77"/>
  <c r="I61" i="77"/>
  <c r="M61" i="77" s="1"/>
  <c r="J60" i="77"/>
  <c r="I60" i="77"/>
  <c r="B2" i="110"/>
  <c r="A13" i="79" l="1"/>
  <c r="E11" i="90"/>
  <c r="E60" i="77"/>
  <c r="E11" i="82"/>
  <c r="F11" i="82" s="1"/>
  <c r="N61" i="77"/>
  <c r="E61" i="77"/>
  <c r="F61" i="77" s="1"/>
  <c r="E65" i="77"/>
  <c r="F65" i="77" s="1"/>
  <c r="A14" i="79" l="1"/>
  <c r="A14" i="92"/>
  <c r="J14" i="92"/>
  <c r="J15" i="92"/>
  <c r="A16" i="92"/>
  <c r="J16" i="92"/>
  <c r="A15" i="79" l="1"/>
  <c r="A16" i="79" s="1"/>
  <c r="A17" i="79" s="1"/>
  <c r="L60" i="77"/>
  <c r="L69" i="77" s="1"/>
  <c r="K60" i="77"/>
  <c r="K69" i="77" s="1"/>
  <c r="N60" i="77"/>
  <c r="F60" i="77"/>
  <c r="F69" i="77" s="1"/>
  <c r="M60" i="77"/>
  <c r="I11" i="93"/>
  <c r="M11" i="93" s="1"/>
  <c r="K11" i="93"/>
  <c r="L11" i="93"/>
  <c r="J11" i="93"/>
  <c r="N11" i="93" s="1"/>
  <c r="K11" i="78"/>
  <c r="L11" i="78"/>
  <c r="J11" i="78"/>
  <c r="N11" i="78" s="1"/>
  <c r="I12" i="110"/>
  <c r="M12" i="110" s="1"/>
  <c r="M16" i="110" s="1"/>
  <c r="A9" i="107"/>
  <c r="Z9" i="107"/>
  <c r="M40" i="111"/>
  <c r="M39" i="111"/>
  <c r="M38" i="111"/>
  <c r="M37" i="111"/>
  <c r="M36" i="111"/>
  <c r="M35" i="111"/>
  <c r="M34" i="111"/>
  <c r="M33" i="111"/>
  <c r="M32" i="111"/>
  <c r="M31" i="111"/>
  <c r="M30" i="111"/>
  <c r="K9" i="111"/>
  <c r="K11" i="111"/>
  <c r="K13" i="111"/>
  <c r="K15" i="111"/>
  <c r="K19" i="111"/>
  <c r="K21" i="111"/>
  <c r="K23" i="111"/>
  <c r="K25" i="111"/>
  <c r="D4" i="111"/>
  <c r="D6" i="111"/>
  <c r="D8" i="111"/>
  <c r="J15" i="78"/>
  <c r="J16" i="78"/>
  <c r="A17" i="78"/>
  <c r="J17" i="78"/>
  <c r="L11" i="92"/>
  <c r="L15" i="92" s="1"/>
  <c r="J11" i="92"/>
  <c r="N11" i="92" s="1"/>
  <c r="J11" i="91"/>
  <c r="I9" i="90"/>
  <c r="J9" i="90"/>
  <c r="M9" i="90"/>
  <c r="M18" i="90" s="1"/>
  <c r="I44" i="77"/>
  <c r="J44" i="77"/>
  <c r="M44" i="77"/>
  <c r="N44" i="77"/>
  <c r="I58" i="77"/>
  <c r="J58" i="77"/>
  <c r="M58" i="77"/>
  <c r="N58" i="77"/>
  <c r="I15" i="110"/>
  <c r="J15" i="110"/>
  <c r="N15" i="101"/>
  <c r="J12" i="101"/>
  <c r="I15" i="101"/>
  <c r="J15" i="101"/>
  <c r="J11" i="101"/>
  <c r="G7" i="109"/>
  <c r="I11" i="92"/>
  <c r="M11" i="92" s="1"/>
  <c r="M15" i="92" s="1"/>
  <c r="H7" i="109"/>
  <c r="I12" i="101"/>
  <c r="I11" i="91"/>
  <c r="K11" i="92"/>
  <c r="K15" i="92" s="1"/>
  <c r="N8" i="78"/>
  <c r="N8" i="93"/>
  <c r="N8" i="82"/>
  <c r="N8" i="106"/>
  <c r="N8" i="92"/>
  <c r="N8" i="91"/>
  <c r="N8" i="90"/>
  <c r="N18" i="90" s="1"/>
  <c r="N8" i="77"/>
  <c r="N11" i="110"/>
  <c r="N10" i="110"/>
  <c r="N9" i="110"/>
  <c r="N16" i="110" s="1"/>
  <c r="N8" i="107"/>
  <c r="N15" i="107" s="1"/>
  <c r="N10" i="101"/>
  <c r="N9" i="101"/>
  <c r="N8" i="101"/>
  <c r="J19" i="82"/>
  <c r="J15" i="106"/>
  <c r="J19" i="90"/>
  <c r="J70" i="77"/>
  <c r="J17" i="110"/>
  <c r="J16" i="107"/>
  <c r="J29" i="101"/>
  <c r="H22" i="97"/>
  <c r="J19" i="93"/>
  <c r="J18" i="93"/>
  <c r="J17" i="93"/>
  <c r="J18" i="82"/>
  <c r="J14" i="106"/>
  <c r="J23" i="91"/>
  <c r="J22" i="91"/>
  <c r="J18" i="90"/>
  <c r="J69" i="77"/>
  <c r="J68" i="77"/>
  <c r="J16" i="110"/>
  <c r="J15" i="107"/>
  <c r="J28" i="101"/>
  <c r="J31" i="79"/>
  <c r="A16" i="110"/>
  <c r="A15" i="110"/>
  <c r="A14" i="110"/>
  <c r="L12" i="110"/>
  <c r="L16" i="110" s="1"/>
  <c r="J12" i="110"/>
  <c r="N12" i="110" s="1"/>
  <c r="A11" i="95"/>
  <c r="A12" i="95"/>
  <c r="A13" i="95" s="1"/>
  <c r="A14" i="95" s="1"/>
  <c r="A15" i="95" s="1"/>
  <c r="A16" i="95" s="1"/>
  <c r="A17" i="95" s="1"/>
  <c r="A18" i="95" s="1"/>
  <c r="B3" i="108"/>
  <c r="B2" i="108"/>
  <c r="A16" i="107"/>
  <c r="A14" i="107"/>
  <c r="J8" i="107"/>
  <c r="A8" i="107"/>
  <c r="H23" i="97"/>
  <c r="A27" i="101"/>
  <c r="A23" i="97"/>
  <c r="A22" i="97"/>
  <c r="A19" i="93"/>
  <c r="A19" i="82"/>
  <c r="A15" i="106"/>
  <c r="A13" i="106"/>
  <c r="A22" i="91"/>
  <c r="A16" i="91"/>
  <c r="A14" i="91"/>
  <c r="A19" i="90"/>
  <c r="A70" i="77"/>
  <c r="A68" i="77"/>
  <c r="A67" i="77"/>
  <c r="A31" i="79"/>
  <c r="H14" i="97"/>
  <c r="A24" i="97"/>
  <c r="A29" i="101"/>
  <c r="H11" i="97"/>
  <c r="H10" i="97"/>
  <c r="E10" i="97" s="1"/>
  <c r="B2" i="90"/>
  <c r="B2" i="106"/>
  <c r="B2" i="78"/>
  <c r="B2" i="101"/>
  <c r="B2" i="82"/>
  <c r="B2" i="93"/>
  <c r="B2" i="77"/>
  <c r="H9" i="97"/>
  <c r="E9" i="97" s="1"/>
  <c r="F9" i="97" s="1"/>
  <c r="M69" i="77" l="1"/>
  <c r="B3" i="107"/>
  <c r="B3" i="110"/>
  <c r="N69" i="77"/>
  <c r="N15" i="92"/>
  <c r="A18" i="79"/>
  <c r="A19" i="79" s="1"/>
  <c r="A20" i="79" s="1"/>
  <c r="A24" i="79" s="1"/>
  <c r="A25" i="79" s="1"/>
  <c r="A26" i="79" s="1"/>
  <c r="A27" i="79" s="1"/>
  <c r="A28" i="79" s="1"/>
  <c r="E11" i="97"/>
  <c r="F11" i="97" s="1"/>
  <c r="E14" i="97"/>
  <c r="F14" i="97" s="1"/>
  <c r="B3" i="82"/>
  <c r="B3" i="78"/>
  <c r="B3" i="90"/>
  <c r="B3" i="93"/>
  <c r="B3" i="106"/>
  <c r="B3" i="92"/>
  <c r="B3" i="79"/>
  <c r="B3" i="97"/>
  <c r="B3" i="91"/>
  <c r="B3" i="101"/>
  <c r="B3" i="77"/>
  <c r="I21" i="109"/>
  <c r="E11" i="91"/>
  <c r="G23" i="109"/>
  <c r="G27" i="109"/>
  <c r="F23" i="109"/>
  <c r="B2" i="97"/>
  <c r="B2" i="107"/>
  <c r="B2" i="91"/>
  <c r="B2" i="79"/>
  <c r="B2" i="92"/>
  <c r="I7" i="109"/>
  <c r="F7" i="109"/>
  <c r="G13" i="109"/>
  <c r="E12" i="101"/>
  <c r="I11" i="101"/>
  <c r="E11" i="101" s="1"/>
  <c r="F11" i="101" s="1"/>
  <c r="I11" i="78"/>
  <c r="M11" i="78" s="1"/>
  <c r="I27" i="109"/>
  <c r="E11" i="93"/>
  <c r="F11" i="93" s="1"/>
  <c r="G25" i="109"/>
  <c r="I25" i="109"/>
  <c r="F25" i="109"/>
  <c r="H23" i="109"/>
  <c r="I23" i="109"/>
  <c r="H21" i="109"/>
  <c r="G21" i="109"/>
  <c r="E11" i="92"/>
  <c r="F11" i="92" s="1"/>
  <c r="F15" i="92" s="1"/>
  <c r="F21" i="109"/>
  <c r="K12" i="101"/>
  <c r="L11" i="101"/>
  <c r="K12" i="110"/>
  <c r="K16" i="110" s="1"/>
  <c r="K11" i="101"/>
  <c r="N11" i="101"/>
  <c r="E12" i="110"/>
  <c r="F12" i="110" s="1"/>
  <c r="F16" i="110" s="1"/>
  <c r="K28" i="101" l="1"/>
  <c r="D7" i="109"/>
  <c r="E11" i="78"/>
  <c r="F11" i="78" s="1"/>
  <c r="I11" i="109"/>
  <c r="F12" i="101"/>
  <c r="F28" i="101" s="1"/>
  <c r="M11" i="101"/>
  <c r="L12" i="101"/>
  <c r="L28" i="101" s="1"/>
  <c r="M12" i="101"/>
  <c r="H27" i="109"/>
  <c r="F27" i="109"/>
  <c r="H25" i="109"/>
  <c r="G11" i="109"/>
  <c r="N12" i="101"/>
  <c r="N28" i="101" s="1"/>
  <c r="I13" i="109"/>
  <c r="M28" i="101" l="1"/>
  <c r="K7" i="109"/>
  <c r="A10" i="97"/>
  <c r="A11" i="97" s="1"/>
  <c r="A12" i="101"/>
  <c r="H17" i="109"/>
  <c r="F17" i="109"/>
  <c r="G17" i="109"/>
  <c r="I17" i="109"/>
  <c r="D17" i="109"/>
  <c r="G29" i="109"/>
  <c r="G31" i="109" s="1"/>
  <c r="D23" i="109"/>
  <c r="D21" i="109"/>
  <c r="K21" i="109" s="1"/>
  <c r="K23" i="109" l="1"/>
  <c r="A13" i="101"/>
  <c r="A14" i="101" s="1"/>
  <c r="A29" i="79"/>
  <c r="K17" i="109"/>
  <c r="F9" i="109"/>
  <c r="D9" i="109"/>
  <c r="H9" i="109"/>
  <c r="G9" i="109"/>
  <c r="A15" i="91"/>
  <c r="I29" i="109"/>
  <c r="D25" i="109"/>
  <c r="K25" i="109" s="1"/>
  <c r="I9" i="109"/>
  <c r="A17" i="101" l="1"/>
  <c r="A21" i="101" s="1"/>
  <c r="A17" i="91"/>
  <c r="A15" i="82"/>
  <c r="A19" i="91"/>
  <c r="A20" i="91" s="1"/>
  <c r="A11" i="77"/>
  <c r="F11" i="109"/>
  <c r="G15" i="109"/>
  <c r="F15" i="109"/>
  <c r="I15" i="109"/>
  <c r="H15" i="109"/>
  <c r="F29" i="109"/>
  <c r="F31" i="109" s="1"/>
  <c r="H29" i="109"/>
  <c r="H31" i="109" s="1"/>
  <c r="D27" i="109"/>
  <c r="K27" i="109" s="1"/>
  <c r="H11" i="109"/>
  <c r="H13" i="109"/>
  <c r="K9" i="109"/>
  <c r="A22" i="101" l="1"/>
  <c r="A26" i="101" s="1"/>
  <c r="F13" i="109"/>
  <c r="F11" i="91"/>
  <c r="M11" i="91"/>
  <c r="K11" i="91"/>
  <c r="L11" i="91"/>
  <c r="N11" i="91"/>
  <c r="M23" i="91" l="1"/>
  <c r="H19" i="109" s="1"/>
  <c r="N23" i="91"/>
  <c r="I19" i="109" s="1"/>
  <c r="I31" i="109" s="1"/>
  <c r="L23" i="91"/>
  <c r="G19" i="109" s="1"/>
  <c r="K23" i="91"/>
  <c r="F19" i="109" s="1"/>
  <c r="A14" i="77"/>
  <c r="D15" i="109"/>
  <c r="K15" i="109" s="1"/>
  <c r="D19" i="109"/>
  <c r="D11" i="109"/>
  <c r="D13" i="109"/>
  <c r="K11" i="109" l="1"/>
  <c r="K19" i="109"/>
  <c r="A15" i="77"/>
  <c r="A16" i="77" s="1"/>
  <c r="A17" i="77" s="1"/>
  <c r="D29" i="109"/>
  <c r="K4" i="111"/>
  <c r="L7" i="111" s="1"/>
  <c r="H16" i="97"/>
  <c r="K13" i="109"/>
  <c r="K29" i="109" l="1"/>
  <c r="D31" i="109"/>
  <c r="A15" i="90"/>
  <c r="A16" i="90" s="1"/>
  <c r="A21" i="77"/>
  <c r="A22" i="77" s="1"/>
  <c r="E16" i="97"/>
  <c r="F16" i="97" s="1"/>
  <c r="L23" i="111"/>
  <c r="L15" i="111"/>
  <c r="L17" i="111"/>
  <c r="L19" i="111"/>
  <c r="L21" i="111"/>
  <c r="L25" i="111"/>
  <c r="L9" i="111"/>
  <c r="L13" i="111"/>
  <c r="L11" i="111"/>
  <c r="A23" i="77" l="1"/>
  <c r="K31" i="109"/>
  <c r="K27" i="111"/>
  <c r="H19" i="97"/>
  <c r="H18" i="97"/>
  <c r="A24" i="77" l="1"/>
  <c r="A25" i="77" s="1"/>
  <c r="E19" i="97"/>
  <c r="F19" i="97" s="1"/>
  <c r="E18" i="97"/>
  <c r="F18" i="97" s="1"/>
  <c r="M5" i="111"/>
  <c r="C38" i="109"/>
  <c r="A26" i="77" l="1"/>
  <c r="A30" i="77" s="1"/>
  <c r="A31" i="77" s="1"/>
  <c r="A32" i="77" s="1"/>
  <c r="A33" i="77" s="1"/>
  <c r="A34" i="77" s="1"/>
  <c r="A35" i="77" s="1"/>
  <c r="A39" i="77" s="1"/>
  <c r="A40" i="77" s="1"/>
  <c r="A41" i="77" s="1"/>
  <c r="A42" i="77" s="1"/>
  <c r="A46" i="77" s="1"/>
  <c r="A47" i="77" s="1"/>
  <c r="A48" i="77" s="1"/>
  <c r="A52" i="77" s="1"/>
  <c r="A53" i="77" s="1"/>
  <c r="A54" i="77" s="1"/>
  <c r="A55" i="77" s="1"/>
  <c r="A56" i="77" s="1"/>
  <c r="A60" i="77" s="1"/>
  <c r="A61" i="77" s="1"/>
  <c r="A65" i="77" s="1"/>
  <c r="H12" i="97"/>
  <c r="H17" i="97"/>
  <c r="E12" i="97" l="1"/>
  <c r="F12" i="97" s="1"/>
  <c r="E17" i="97"/>
  <c r="F17" i="97" s="1"/>
  <c r="H15" i="97"/>
  <c r="H21" i="97"/>
  <c r="H13" i="97"/>
  <c r="H20" i="97"/>
  <c r="A12" i="97" l="1"/>
  <c r="E13" i="97"/>
  <c r="F13" i="97" s="1"/>
  <c r="E15" i="97"/>
  <c r="F15" i="97" s="1"/>
  <c r="E21" i="97"/>
  <c r="F21" i="97" s="1"/>
  <c r="E20" i="97"/>
  <c r="F20" i="97" s="1"/>
  <c r="A13" i="97" l="1"/>
  <c r="A14" i="97" s="1"/>
  <c r="D33" i="109"/>
  <c r="D36" i="109" s="1"/>
  <c r="A15" i="97" l="1"/>
  <c r="A16" i="97" s="1"/>
  <c r="A17" i="97" s="1"/>
  <c r="A18" i="97" s="1"/>
  <c r="A19" i="97" s="1"/>
  <c r="A20" i="97" s="1"/>
  <c r="K2" i="111"/>
  <c r="A21" i="97" l="1"/>
</calcChain>
</file>

<file path=xl/sharedStrings.xml><?xml version="1.0" encoding="utf-8"?>
<sst xmlns="http://schemas.openxmlformats.org/spreadsheetml/2006/main" count="578" uniqueCount="254">
  <si>
    <t>Total</t>
  </si>
  <si>
    <t>Rate</t>
  </si>
  <si>
    <t>Unit</t>
  </si>
  <si>
    <t>Description</t>
  </si>
  <si>
    <t>FOR</t>
  </si>
  <si>
    <t>QUALIFICATIONS, ASSUMPTIONS &amp; EXCLUSIONS:</t>
  </si>
  <si>
    <t>Qualifications:-</t>
  </si>
  <si>
    <t>The following assumptions have been made in drawing up the costs:-</t>
  </si>
  <si>
    <t>Quantity</t>
  </si>
  <si>
    <t>Preliminaries</t>
  </si>
  <si>
    <t>m2</t>
  </si>
  <si>
    <t>item</t>
  </si>
  <si>
    <t>no.</t>
  </si>
  <si>
    <t>m</t>
  </si>
  <si>
    <t>Superstructure</t>
  </si>
  <si>
    <t>Demolition</t>
  </si>
  <si>
    <t>Mechanical</t>
  </si>
  <si>
    <t>Electrical</t>
  </si>
  <si>
    <t>Kitchen &amp; Bathrooms</t>
  </si>
  <si>
    <t>STUDWORK PARTITIONS</t>
  </si>
  <si>
    <t>Joinery</t>
  </si>
  <si>
    <t>Decoration</t>
  </si>
  <si>
    <t>Internal Walls and Partitions</t>
  </si>
  <si>
    <t>Pre-start meeting and site investigation will be required before commencement on site</t>
  </si>
  <si>
    <t>Site inspections to be carried out, this may cause additions/omissions to the tender documents</t>
  </si>
  <si>
    <t>Labour</t>
  </si>
  <si>
    <t>Materials</t>
  </si>
  <si>
    <t>Plant</t>
  </si>
  <si>
    <t>Partitions</t>
  </si>
  <si>
    <t>Floor Finishes</t>
  </si>
  <si>
    <t>Scaffolding and safe stands</t>
  </si>
  <si>
    <t>Welfare facilities</t>
  </si>
  <si>
    <t>Small plant and tools</t>
  </si>
  <si>
    <t>Protection</t>
  </si>
  <si>
    <t>Temporary supplies</t>
  </si>
  <si>
    <t>Lifting and propping</t>
  </si>
  <si>
    <t>Rubbish removal; skips</t>
  </si>
  <si>
    <t>Walls; 3mm skim finish</t>
  </si>
  <si>
    <t>Ceilings; 3mm skim finish</t>
  </si>
  <si>
    <t>Item</t>
  </si>
  <si>
    <t>Health &amp; safety</t>
  </si>
  <si>
    <t>Insurance</t>
  </si>
  <si>
    <t>CEILINGS</t>
  </si>
  <si>
    <t>STRUCTURAL STEELWORK</t>
  </si>
  <si>
    <t>Rooflights</t>
  </si>
  <si>
    <t>Wall Finishes</t>
  </si>
  <si>
    <t>SKIRTING</t>
  </si>
  <si>
    <t>SPECIALIST JOINERY</t>
  </si>
  <si>
    <t>No level surveys have been provided so all excavation quantities are provisional</t>
  </si>
  <si>
    <t>Prices exclude VAT</t>
  </si>
  <si>
    <t>Any items not mentioned within this estimate have been specifically excluded and will be subject to further costs</t>
  </si>
  <si>
    <t xml:space="preserve">Drainage works are provisional sum as a full site survey will be required </t>
  </si>
  <si>
    <t>Connection into existing drainage is provisional sum</t>
  </si>
  <si>
    <t>Making good areas are subject to re-measure</t>
  </si>
  <si>
    <t>All M&amp;E is assumed and to be confirmed by client and specialist (Provisional Sum)</t>
  </si>
  <si>
    <t>All excavations are machine dug, we have not allowed for hand excavation</t>
  </si>
  <si>
    <t>Skips and rubbish removal are provisional quantity and are subject to re-measure</t>
  </si>
  <si>
    <t>Site setup</t>
  </si>
  <si>
    <t>All external works are provisional</t>
  </si>
  <si>
    <t>All finishes have been assumed therefore they are provisional</t>
  </si>
  <si>
    <t>KG/M</t>
  </si>
  <si>
    <t>Cleaning (no allowance for sparkle clean)</t>
  </si>
  <si>
    <t>MARKUP</t>
  </si>
  <si>
    <t>Range 1</t>
  </si>
  <si>
    <t>Yes</t>
  </si>
  <si>
    <t xml:space="preserve">Range 2 </t>
  </si>
  <si>
    <t>Range 3</t>
  </si>
  <si>
    <t>Range 4</t>
  </si>
  <si>
    <t>Range 5</t>
  </si>
  <si>
    <t>Range 6</t>
  </si>
  <si>
    <t>Range 7</t>
  </si>
  <si>
    <t>Range 8</t>
  </si>
  <si>
    <t>Range 9</t>
  </si>
  <si>
    <t xml:space="preserve">Range 10 - Over </t>
  </si>
  <si>
    <t>No</t>
  </si>
  <si>
    <t xml:space="preserve">Provisional sums and PC Sums mentioned within the estimate are subject to re-measure and re-price </t>
  </si>
  <si>
    <t>All quantities are re-measurable and used for indicative purposes only and are subject to re-measure once the project has commenced</t>
  </si>
  <si>
    <t>We have assumed free unfettered access and normal working hours to the site</t>
  </si>
  <si>
    <t xml:space="preserve">There may be some items where alternative specification is used and these may differ to the specification provided </t>
  </si>
  <si>
    <t>External Windows, Doors and Rooflights</t>
  </si>
  <si>
    <t>Structural Steelwork &amp; Timberwork</t>
  </si>
  <si>
    <t>Sub Total</t>
  </si>
  <si>
    <t>INFORMATION USED</t>
  </si>
  <si>
    <t>Building insurance</t>
  </si>
  <si>
    <t>Utility and council tax bills</t>
  </si>
  <si>
    <t>Party Wall costs and complying with conditions</t>
  </si>
  <si>
    <t>Building control and costs</t>
  </si>
  <si>
    <t xml:space="preserve">Structural engineers' and building regulation details </t>
  </si>
  <si>
    <t>Any items noted as install only are provisional sums, the install price is subject to change following specification being provided</t>
  </si>
  <si>
    <t>Any items noted as client supply, the client will supply any adhesives or sundries required to get the works complete</t>
  </si>
  <si>
    <t>All electrical points are PC Sum to supply until specification is provided</t>
  </si>
  <si>
    <t>No allowance has been made in this estimate for the following:</t>
  </si>
  <si>
    <t xml:space="preserve">Professional fees </t>
  </si>
  <si>
    <t>Price and design risk</t>
  </si>
  <si>
    <t>Inflation beyond the financial quarter of the date mentioned in this estimate</t>
  </si>
  <si>
    <t>Contaminated ground, high water table, obstructions or build over agreements (services or drainage diversions)</t>
  </si>
  <si>
    <t>Alterations or upgrades for incoming supplies or trenches</t>
  </si>
  <si>
    <t>Tin hat (temporary roof) to the scaffolding</t>
  </si>
  <si>
    <t>Bespoke joinery</t>
  </si>
  <si>
    <t xml:space="preserve">SUMMARY </t>
  </si>
  <si>
    <t>SUB TOTAL</t>
  </si>
  <si>
    <t>TOTAL COST (EXCLUDING VAT)</t>
  </si>
  <si>
    <t>Anticipated Number of Weeks</t>
  </si>
  <si>
    <t>Weeks</t>
  </si>
  <si>
    <t>RATES</t>
  </si>
  <si>
    <t>TOTALS</t>
  </si>
  <si>
    <t>LABOUR</t>
  </si>
  <si>
    <t>MATERIALS</t>
  </si>
  <si>
    <t>Check</t>
  </si>
  <si>
    <t>Contractors Overheads</t>
  </si>
  <si>
    <t>Markup</t>
  </si>
  <si>
    <t>Calculation</t>
  </si>
  <si>
    <t>Temporary works</t>
  </si>
  <si>
    <t>Skip permits or parking permits</t>
  </si>
  <si>
    <t>The information used in the preparation of this estimate are as listed below:</t>
  </si>
  <si>
    <t>The following items are to be organised and paid for by the client and are excluded from the total cost:</t>
  </si>
  <si>
    <t>All M&amp;E is provisional sum (as no detailed design has been provided) and a detailed design will be required in order to finalise costs</t>
  </si>
  <si>
    <t>The prices are valid for 8 weeks and we assume that works will commence within 12 weeks from the date of this estimate</t>
  </si>
  <si>
    <t>Topographical surveys</t>
  </si>
  <si>
    <t>CCTV drainage surveys</t>
  </si>
  <si>
    <t>Asbestos surveys</t>
  </si>
  <si>
    <t>Specialist surveys</t>
  </si>
  <si>
    <t>All decoration is assumed mid range paint supply, prices do not cover premium paints</t>
  </si>
  <si>
    <t>Floor finishes apart from the ones specified</t>
  </si>
  <si>
    <t>Moving or altering existing services running over or under the site</t>
  </si>
  <si>
    <t>Changes to drawings, design or specification which deviate from the information used as stated below may be subject to further cost</t>
  </si>
  <si>
    <t>Site accommodation</t>
  </si>
  <si>
    <t>Calculation Total</t>
  </si>
  <si>
    <t>Factor</t>
  </si>
  <si>
    <t>Bricklayer</t>
  </si>
  <si>
    <t>Roofer</t>
  </si>
  <si>
    <t>Tiler</t>
  </si>
  <si>
    <t>Carpenter</t>
  </si>
  <si>
    <t>Plasterer</t>
  </si>
  <si>
    <t>Labourer</t>
  </si>
  <si>
    <t>Decorator</t>
  </si>
  <si>
    <t>Plumber</t>
  </si>
  <si>
    <t>Electrician</t>
  </si>
  <si>
    <t>L Markup</t>
  </si>
  <si>
    <t>M Markup</t>
  </si>
  <si>
    <t>L MARKUP</t>
  </si>
  <si>
    <t>M MARKUP</t>
  </si>
  <si>
    <t>General Trade</t>
  </si>
  <si>
    <t>Total Inc Prelims</t>
  </si>
  <si>
    <t>Contractors Markup - Labour</t>
  </si>
  <si>
    <t>Contractors Markup - Materials</t>
  </si>
  <si>
    <t>Trades - Day Rates</t>
  </si>
  <si>
    <t>Kitchens &amp; Bathrooms</t>
  </si>
  <si>
    <t>Structural Steelwork</t>
  </si>
  <si>
    <t>Windows, Doors &amp; Rooflights</t>
  </si>
  <si>
    <t>Document reference:</t>
  </si>
  <si>
    <t>Groundworker</t>
  </si>
  <si>
    <t>Client Day Rate £</t>
  </si>
  <si>
    <t>HR91-02-1001</t>
  </si>
  <si>
    <t>HR91-02-1002</t>
  </si>
  <si>
    <t>HR91-02-1003</t>
  </si>
  <si>
    <t>HR91-02-1004</t>
  </si>
  <si>
    <t>HR91-02-1005</t>
  </si>
  <si>
    <t>PHOTOS</t>
  </si>
  <si>
    <t>Internal foundations</t>
  </si>
  <si>
    <t>Due to a lack of details and specification all item have been assumed and to be confirmed</t>
  </si>
  <si>
    <t>Supply of windows, doors and rooflight</t>
  </si>
  <si>
    <t>Supply of internal doors &amp; ironmongery</t>
  </si>
  <si>
    <t>Supply of skirting and architraves</t>
  </si>
  <si>
    <t>Structural timberwork and steelwork is provisional sum due to the lack of details</t>
  </si>
  <si>
    <t>All internal wall build up has been assumed and to be confirmed</t>
  </si>
  <si>
    <t>BOXING WORKS</t>
  </si>
  <si>
    <t>Boxing in works (Provisional Sum)</t>
  </si>
  <si>
    <t xml:space="preserve">A/C </t>
  </si>
  <si>
    <t>Management</t>
  </si>
  <si>
    <t>SKIM ON PLASTER BOARD</t>
  </si>
  <si>
    <t>INTERNAL DOORS</t>
  </si>
  <si>
    <t>Timber Head Plate</t>
  </si>
  <si>
    <t>Timber Sole Plate</t>
  </si>
  <si>
    <t>WALL BOARD</t>
  </si>
  <si>
    <t>(2) Layer 12.5mm Wall Plaster Board</t>
  </si>
  <si>
    <t>(1) Layer 12.5mm Wall Plaster Board</t>
  </si>
  <si>
    <t>WALL FINISH</t>
  </si>
  <si>
    <t>FLOORING</t>
  </si>
  <si>
    <t xml:space="preserve">ESTIMATE </t>
  </si>
  <si>
    <t>SCOPE: RENOVATION WORK</t>
  </si>
  <si>
    <t>ARCHITECTURAL DEMO</t>
  </si>
  <si>
    <t>MEP DEMO</t>
  </si>
  <si>
    <t>PROJECT: ALTERATIONS TO 41 GREENSIDE STREET ROSEMARKIE, IV10 8AG</t>
  </si>
  <si>
    <t>DATE: 20TH NOVEMBER 2025</t>
  </si>
  <si>
    <t xml:space="preserve">Size For Tiles Was Assumed </t>
  </si>
  <si>
    <t>Partition Walls Assemblies Was Assumed</t>
  </si>
  <si>
    <t>OverHead Charges</t>
  </si>
  <si>
    <t>Batroom Units ( Water Closet, Basin &amp; Bath Tub) To Be Removed
 Casrefully For Reinstallation</t>
  </si>
  <si>
    <t>Kitchen Units (Integrated Fridge Freezer, Dishwasher, Washing Machine
, Oven, Hob &amp; Cooker Hood) Te Be Removed Carefully For Reinstallation</t>
  </si>
  <si>
    <t>Mistubishi Ecodan Cylinder To Be Disconnect &amp; Kept Safe For Reinstallation</t>
  </si>
  <si>
    <t>Radiators To Be Un-Installed &amp; Kept Safe For Reinstallation</t>
  </si>
  <si>
    <t>Electrical Sockets &amp; Switches To Be Removed  &amp; Kept Aside For Re-Installation</t>
  </si>
  <si>
    <t>All Pipes For First Floor To Be Disconnect</t>
  </si>
  <si>
    <t>Internal Doors To Be Removed For Re-Installation</t>
  </si>
  <si>
    <t>Wardrobe Sliding Door To Be Removed For Re-Installation</t>
  </si>
  <si>
    <t>Skirting To Be Removed</t>
  </si>
  <si>
    <t>Wall Facing To Be Removed (2.74m H)</t>
  </si>
  <si>
    <t>Internal Partition To Be Removed (2.74m H)</t>
  </si>
  <si>
    <t>Vinyl Floor Tiles Covering To Be Removed</t>
  </si>
  <si>
    <t>22mm Chipboard To Be Removed</t>
  </si>
  <si>
    <t>19mm Plasterboard To Be Removed</t>
  </si>
  <si>
    <t>Acoustic Battens To Be Removed</t>
  </si>
  <si>
    <t>Acoustic Insulation To Be Removed</t>
  </si>
  <si>
    <t>15mm OSB</t>
  </si>
  <si>
    <t>Noggings/Dwangs</t>
  </si>
  <si>
    <t>45x50mm Noggings</t>
  </si>
  <si>
    <t>Full Height Dwangs @ 1.2m O.C.</t>
  </si>
  <si>
    <t>Joist</t>
  </si>
  <si>
    <t>47x245 C24 Solid Joists @ 600mm O.C. (77 m2)</t>
  </si>
  <si>
    <t>Floor Framing</t>
  </si>
  <si>
    <t>KNAUF GIFAFloor FHB 25mm</t>
  </si>
  <si>
    <t>18mm Thick OSB 3, T&amp;G</t>
  </si>
  <si>
    <t>100mm Mineral Wool Quilt Insulation</t>
  </si>
  <si>
    <t>45x75mm Deep C16 Acoustic Battens To Be Installed @ 400mm C/C w/
 6x50mmRegupol Sonus 3912 isolation strip</t>
  </si>
  <si>
    <t>Simpson Hanger</t>
  </si>
  <si>
    <t>Simpson Strong-Tie Joist Hanger Type JHA270</t>
  </si>
  <si>
    <t>Strap</t>
  </si>
  <si>
    <t>28x4mm Pre-Galvanised Mild Steel Straps @ 1.2m O.C._x000D_
(1.9m L)</t>
  </si>
  <si>
    <t>Re-Install Wardrobe Sliding Door</t>
  </si>
  <si>
    <t>Re-Installl All Internal SIngle Leaf Door</t>
  </si>
  <si>
    <t>35x60mm Int. Wall (2.74m H)</t>
  </si>
  <si>
    <t>35x60mm Timber Stud Wall @ 400 C.C.</t>
  </si>
  <si>
    <t>Mineral Wool Acoustic Insulation (50mm Thick)</t>
  </si>
  <si>
    <t>Acoustic Sealent</t>
  </si>
  <si>
    <t xml:space="preserve">35x60mm Int. Wall (2.74m H) </t>
  </si>
  <si>
    <t>Polyethylene Sheet (0.2mm Thick)</t>
  </si>
  <si>
    <t>35x60mm Int. Furring Wall (2.74m H)</t>
  </si>
  <si>
    <t>(1) Layer MR 12.5mm Wall Plaster Board</t>
  </si>
  <si>
    <t>19mm Gypsum Plank</t>
  </si>
  <si>
    <t xml:space="preserve">15mm MR Plasterboard </t>
  </si>
  <si>
    <t xml:space="preserve">15mm Plasterboard </t>
  </si>
  <si>
    <t>MDF Skirting w/ 3 Coat Of paint_x000D_
Size: 12mm T x 120mm H</t>
  </si>
  <si>
    <t>0.6m W Worktop</t>
  </si>
  <si>
    <t>Re-Install (700mm H) Glass Splashback</t>
  </si>
  <si>
    <t>3 Coats Of Paint @ Ceinling On Both Floor Ceilings</t>
  </si>
  <si>
    <t>Ceiling Paint</t>
  </si>
  <si>
    <t>3 Coats Of Paint @ Walls On Both Floors</t>
  </si>
  <si>
    <t>Wall Paint</t>
  </si>
  <si>
    <t>Paint At Door</t>
  </si>
  <si>
    <t xml:space="preserve">Install LVT Vinyl Tiles Flooring </t>
  </si>
  <si>
    <t>600mm x 600mm Porcelain Tile Flooring</t>
  </si>
  <si>
    <t xml:space="preserve">LVT Tile On Wall </t>
  </si>
  <si>
    <t>KITCHEN</t>
  </si>
  <si>
    <t xml:space="preserve">Re-Install Kitchen Units (Integrated Fridge Freezer, Dishwasher, Washing Machine, Oven, Hob &amp; Cooker Hood) </t>
  </si>
  <si>
    <t xml:space="preserve">BATHROOM </t>
  </si>
  <si>
    <t>Re-Install Bath Units( Toilet, Sink &amp; Bath Tub)</t>
  </si>
  <si>
    <t xml:space="preserve">Re-Connect All Pipes </t>
  </si>
  <si>
    <t>BS7671 compliant consumer units with SPD &amp; RCBP</t>
  </si>
  <si>
    <t>UNITS</t>
  </si>
  <si>
    <t>SWITCHES/SOCKETS</t>
  </si>
  <si>
    <t>Re-Install Electrical Switches &amp; Sockets</t>
  </si>
  <si>
    <t>Re-Connect Mistubishi Ecodan Cylinder</t>
  </si>
  <si>
    <t>CYLINDER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</si>
</sst>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&quot;£&quot;#,##0.00_);\(&quot;£&quot;#,##0.00\)"/>
    <numFmt numFmtId="165" formatCode="_(&quot;£&quot;* #,##0.00_);_(&quot;£&quot;* \(#,##0.00\);_(&quot;£&quot;* &quot;-&quot;??_);_(@_)"/>
    <numFmt numFmtId="166" formatCode="&quot;£&quot;#,##0.00"/>
    <numFmt numFmtId="167" formatCode="\ * #,##0.00\ ;&quot;-&quot;* #,##0.00\ ;\ * &quot;-&quot;??\ "/>
    <numFmt numFmtId="168" formatCode="0.000"/>
  </numFmts>
  <fonts count="6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indexed="36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6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0"/>
      <color rgb="FF0000FF"/>
      <name val="Arial"/>
      <family val="2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0"/>
      <name val="Arial"/>
      <family val="2"/>
    </font>
    <font>
      <sz val="14"/>
      <name val="Arial"/>
      <family val="2"/>
    </font>
    <font>
      <b/>
      <sz val="12"/>
      <color indexed="8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4"/>
      <color indexed="8"/>
      <name val="Calibri"/>
      <family val="2"/>
      <scheme val="minor"/>
    </font>
    <font>
      <sz val="14"/>
      <name val="Calibri"/>
      <family val="2"/>
      <scheme val="minor"/>
    </font>
    <font>
      <sz val="14"/>
      <name val="Arial Bold"/>
    </font>
    <font>
      <sz val="14"/>
      <color theme="0"/>
      <name val="Calibri"/>
      <family val="2"/>
      <scheme val="minor"/>
    </font>
    <font>
      <b/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sz val="14"/>
      <color rgb="FFFF0000"/>
      <name val="Calibri"/>
      <family val="2"/>
      <scheme val="minor"/>
    </font>
    <font>
      <b/>
      <sz val="14"/>
      <name val="Calibri"/>
      <family val="2"/>
      <scheme val="minor"/>
    </font>
    <font>
      <b/>
      <sz val="16"/>
      <name val="Calibri"/>
      <family val="2"/>
    </font>
    <font>
      <sz val="12"/>
      <name val="Calibri"/>
      <family val="2"/>
    </font>
    <font>
      <sz val="12"/>
      <color indexed="8"/>
      <name val="Calibri"/>
      <family val="2"/>
    </font>
    <font>
      <b/>
      <sz val="12"/>
      <name val="Calibri"/>
      <family val="2"/>
    </font>
    <font>
      <u/>
      <sz val="14"/>
      <name val="Calibri"/>
      <family val="2"/>
      <scheme val="minor"/>
    </font>
    <font>
      <b/>
      <u/>
      <sz val="12"/>
      <color indexed="8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b/>
      <sz val="12"/>
      <color indexed="9"/>
      <name val="Calibri"/>
      <family val="2"/>
    </font>
    <font>
      <sz val="16"/>
      <name val="Calibri"/>
      <family val="2"/>
      <scheme val="minor"/>
    </font>
    <font>
      <b/>
      <u/>
      <sz val="16"/>
      <name val="Calibri"/>
      <family val="2"/>
      <scheme val="minor"/>
    </font>
    <font>
      <b/>
      <sz val="16"/>
      <color theme="1"/>
      <name val="Calibri"/>
      <family val="2"/>
      <scheme val="minor"/>
    </font>
    <font>
      <u/>
      <sz val="12"/>
      <name val="Calibri"/>
      <family val="2"/>
      <scheme val="minor"/>
    </font>
    <font>
      <b/>
      <sz val="14"/>
      <name val="Calibri"/>
      <family val="2"/>
    </font>
    <font>
      <sz val="12"/>
      <color theme="0" tint="-4.9989318521683403E-2"/>
      <name val="Calibri"/>
      <family val="2"/>
    </font>
    <font>
      <b/>
      <sz val="12"/>
      <color theme="0" tint="-4.9989318521683403E-2"/>
      <name val="Calibri"/>
      <family val="2"/>
    </font>
    <font>
      <sz val="12"/>
      <color theme="0" tint="-4.9989318521683403E-2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0000"/>
      <name val="Calibri"/>
      <family val="2"/>
    </font>
    <font>
      <sz val="14"/>
      <color theme="0" tint="-0.249977111117893"/>
      <name val="Calibri"/>
      <family val="2"/>
      <scheme val="minor"/>
    </font>
    <font>
      <sz val="12"/>
      <color theme="0" tint="-0.249977111117893"/>
      <name val="Calibri"/>
      <family val="2"/>
    </font>
    <font>
      <sz val="11"/>
      <color rgb="FF000000"/>
      <name val="Calibri"/>
      <family val="2"/>
    </font>
    <font>
      <sz val="11"/>
      <color theme="1"/>
      <name val="Arial"/>
      <family val="2"/>
    </font>
    <font>
      <b/>
      <sz val="18"/>
      <name val="Arial"/>
      <family val="2"/>
    </font>
    <font>
      <sz val="8"/>
      <name val="Calibri"/>
      <family val="2"/>
      <scheme val="minor"/>
    </font>
    <font>
      <b/>
      <sz val="11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theme="3"/>
      </left>
      <right/>
      <top style="medium">
        <color theme="3"/>
      </top>
      <bottom/>
      <diagonal/>
    </border>
    <border>
      <left/>
      <right/>
      <top style="medium">
        <color theme="3"/>
      </top>
      <bottom/>
      <diagonal/>
    </border>
    <border>
      <left/>
      <right style="medium">
        <color indexed="64"/>
      </right>
      <top style="medium">
        <color theme="3"/>
      </top>
      <bottom/>
      <diagonal/>
    </border>
    <border>
      <left/>
      <right style="medium">
        <color theme="3"/>
      </right>
      <top style="medium">
        <color theme="3"/>
      </top>
      <bottom/>
      <diagonal/>
    </border>
    <border>
      <left style="medium">
        <color theme="3"/>
      </left>
      <right/>
      <top/>
      <bottom/>
      <diagonal/>
    </border>
    <border>
      <left/>
      <right style="medium">
        <color theme="3"/>
      </right>
      <top/>
      <bottom/>
      <diagonal/>
    </border>
    <border>
      <left style="medium">
        <color theme="3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theme="3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theme="3"/>
      </right>
      <top style="thin">
        <color indexed="64"/>
      </top>
      <bottom style="double">
        <color indexed="64"/>
      </bottom>
      <diagonal/>
    </border>
    <border>
      <left style="medium">
        <color theme="3"/>
      </left>
      <right/>
      <top/>
      <bottom style="medium">
        <color theme="3"/>
      </bottom>
      <diagonal/>
    </border>
    <border>
      <left/>
      <right/>
      <top/>
      <bottom style="medium">
        <color theme="3"/>
      </bottom>
      <diagonal/>
    </border>
    <border>
      <left/>
      <right style="medium">
        <color indexed="64"/>
      </right>
      <top/>
      <bottom style="medium">
        <color theme="3"/>
      </bottom>
      <diagonal/>
    </border>
    <border>
      <left style="medium">
        <color indexed="64"/>
      </left>
      <right/>
      <top/>
      <bottom style="medium">
        <color theme="3"/>
      </bottom>
      <diagonal/>
    </border>
    <border>
      <left/>
      <right style="medium">
        <color theme="3"/>
      </right>
      <top/>
      <bottom style="medium">
        <color theme="3"/>
      </bottom>
      <diagonal/>
    </border>
  </borders>
  <cellStyleXfs count="10">
    <xf numFmtId="0" fontId="0" fillId="0" borderId="0"/>
    <xf numFmtId="43" fontId="1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39" fontId="6" fillId="0" borderId="17">
      <alignment horizontal="left" vertical="center" wrapText="1"/>
    </xf>
  </cellStyleXfs>
  <cellXfs count="374">
    <xf numFmtId="0" fontId="0" fillId="0" borderId="0" xfId="0"/>
    <xf numFmtId="0" fontId="1" fillId="0" borderId="0" xfId="4"/>
    <xf numFmtId="0" fontId="1" fillId="0" borderId="0" xfId="4" applyAlignment="1">
      <alignment wrapText="1"/>
    </xf>
    <xf numFmtId="0" fontId="8" fillId="0" borderId="0" xfId="0" applyFont="1"/>
    <xf numFmtId="0" fontId="1" fillId="0" borderId="0" xfId="7"/>
    <xf numFmtId="0" fontId="13" fillId="0" borderId="8" xfId="0" applyFont="1" applyBorder="1" applyAlignment="1">
      <alignment horizontal="center"/>
    </xf>
    <xf numFmtId="0" fontId="13" fillId="0" borderId="0" xfId="0" applyFont="1" applyAlignment="1">
      <alignment horizontal="center"/>
    </xf>
    <xf numFmtId="166" fontId="13" fillId="0" borderId="0" xfId="0" applyNumberFormat="1" applyFont="1" applyAlignment="1">
      <alignment horizontal="center"/>
    </xf>
    <xf numFmtId="0" fontId="13" fillId="0" borderId="0" xfId="0" applyFont="1"/>
    <xf numFmtId="0" fontId="15" fillId="0" borderId="0" xfId="0" applyFont="1"/>
    <xf numFmtId="0" fontId="13" fillId="0" borderId="2" xfId="0" applyFont="1" applyBorder="1"/>
    <xf numFmtId="0" fontId="13" fillId="0" borderId="2" xfId="0" applyFont="1" applyBorder="1" applyAlignment="1">
      <alignment horizontal="center"/>
    </xf>
    <xf numFmtId="0" fontId="13" fillId="0" borderId="3" xfId="0" applyFont="1" applyBorder="1" applyAlignment="1">
      <alignment horizontal="center"/>
    </xf>
    <xf numFmtId="0" fontId="13" fillId="0" borderId="7" xfId="0" applyFont="1" applyBorder="1" applyAlignment="1">
      <alignment horizontal="center"/>
    </xf>
    <xf numFmtId="0" fontId="13" fillId="0" borderId="7" xfId="0" applyFont="1" applyBorder="1"/>
    <xf numFmtId="1" fontId="13" fillId="0" borderId="0" xfId="0" applyNumberFormat="1" applyFont="1" applyAlignment="1">
      <alignment horizontal="center"/>
    </xf>
    <xf numFmtId="0" fontId="13" fillId="0" borderId="1" xfId="0" applyFont="1" applyBorder="1" applyAlignment="1">
      <alignment horizontal="center"/>
    </xf>
    <xf numFmtId="1" fontId="13" fillId="0" borderId="2" xfId="0" applyNumberFormat="1" applyFont="1" applyBorder="1" applyAlignment="1">
      <alignment horizontal="center"/>
    </xf>
    <xf numFmtId="2" fontId="13" fillId="0" borderId="2" xfId="0" applyNumberFormat="1" applyFont="1" applyBorder="1" applyAlignment="1">
      <alignment horizontal="center"/>
    </xf>
    <xf numFmtId="2" fontId="13" fillId="0" borderId="0" xfId="0" applyNumberFormat="1" applyFont="1" applyAlignment="1">
      <alignment horizontal="center"/>
    </xf>
    <xf numFmtId="166" fontId="13" fillId="0" borderId="2" xfId="0" applyNumberFormat="1" applyFont="1" applyBorder="1" applyAlignment="1">
      <alignment horizontal="center"/>
    </xf>
    <xf numFmtId="166" fontId="13" fillId="0" borderId="3" xfId="0" applyNumberFormat="1" applyFont="1" applyBorder="1" applyAlignment="1">
      <alignment horizontal="center"/>
    </xf>
    <xf numFmtId="166" fontId="13" fillId="0" borderId="7" xfId="0" applyNumberFormat="1" applyFont="1" applyBorder="1" applyAlignment="1">
      <alignment horizontal="center"/>
    </xf>
    <xf numFmtId="166" fontId="13" fillId="0" borderId="0" xfId="0" applyNumberFormat="1" applyFont="1"/>
    <xf numFmtId="166" fontId="13" fillId="0" borderId="7" xfId="0" applyNumberFormat="1" applyFont="1" applyBorder="1"/>
    <xf numFmtId="0" fontId="16" fillId="0" borderId="0" xfId="0" applyFont="1"/>
    <xf numFmtId="0" fontId="17" fillId="0" borderId="0" xfId="0" applyFont="1"/>
    <xf numFmtId="0" fontId="14" fillId="0" borderId="0" xfId="4" applyFont="1"/>
    <xf numFmtId="0" fontId="14" fillId="0" borderId="0" xfId="4" applyFont="1" applyAlignment="1">
      <alignment wrapText="1"/>
    </xf>
    <xf numFmtId="0" fontId="6" fillId="0" borderId="0" xfId="4" applyFont="1"/>
    <xf numFmtId="0" fontId="14" fillId="0" borderId="0" xfId="4" applyFont="1" applyAlignment="1">
      <alignment horizontal="right"/>
    </xf>
    <xf numFmtId="0" fontId="14" fillId="0" borderId="0" xfId="0" applyFont="1" applyAlignment="1">
      <alignment wrapText="1"/>
    </xf>
    <xf numFmtId="0" fontId="14" fillId="0" borderId="0" xfId="4" applyFont="1" applyAlignment="1">
      <alignment horizontal="left" wrapText="1"/>
    </xf>
    <xf numFmtId="0" fontId="14" fillId="0" borderId="0" xfId="0" applyFont="1" applyAlignment="1">
      <alignment horizontal="left" wrapText="1"/>
    </xf>
    <xf numFmtId="0" fontId="14" fillId="0" borderId="0" xfId="4" quotePrefix="1" applyFont="1" applyAlignment="1">
      <alignment wrapText="1"/>
    </xf>
    <xf numFmtId="166" fontId="16" fillId="0" borderId="0" xfId="0" applyNumberFormat="1" applyFont="1" applyAlignment="1">
      <alignment horizontal="center"/>
    </xf>
    <xf numFmtId="0" fontId="16" fillId="0" borderId="8" xfId="0" applyFont="1" applyBorder="1" applyAlignment="1">
      <alignment horizontal="center"/>
    </xf>
    <xf numFmtId="2" fontId="16" fillId="0" borderId="4" xfId="0" applyNumberFormat="1" applyFont="1" applyBorder="1" applyAlignment="1">
      <alignment horizontal="center"/>
    </xf>
    <xf numFmtId="0" fontId="16" fillId="0" borderId="0" xfId="0" applyFont="1" applyAlignment="1">
      <alignment horizontal="center"/>
    </xf>
    <xf numFmtId="1" fontId="16" fillId="0" borderId="0" xfId="0" applyNumberFormat="1" applyFont="1" applyAlignment="1">
      <alignment horizontal="center"/>
    </xf>
    <xf numFmtId="17" fontId="8" fillId="0" borderId="0" xfId="0" applyNumberFormat="1" applyFont="1"/>
    <xf numFmtId="166" fontId="8" fillId="0" borderId="0" xfId="0" applyNumberFormat="1" applyFont="1" applyAlignment="1">
      <alignment horizontal="center"/>
    </xf>
    <xf numFmtId="0" fontId="13" fillId="0" borderId="0" xfId="0" applyFont="1" applyAlignment="1">
      <alignment horizontal="left"/>
    </xf>
    <xf numFmtId="166" fontId="13" fillId="0" borderId="5" xfId="0" applyNumberFormat="1" applyFont="1" applyBorder="1" applyAlignment="1">
      <alignment horizontal="center"/>
    </xf>
    <xf numFmtId="0" fontId="1" fillId="0" borderId="0" xfId="7" applyAlignment="1">
      <alignment vertical="center"/>
    </xf>
    <xf numFmtId="0" fontId="13" fillId="0" borderId="0" xfId="0" applyFont="1" applyAlignment="1">
      <alignment vertical="center"/>
    </xf>
    <xf numFmtId="166" fontId="16" fillId="0" borderId="8" xfId="0" applyNumberFormat="1" applyFont="1" applyBorder="1" applyAlignment="1">
      <alignment horizontal="center"/>
    </xf>
    <xf numFmtId="4" fontId="16" fillId="0" borderId="0" xfId="0" applyNumberFormat="1" applyFont="1" applyAlignment="1">
      <alignment horizontal="center"/>
    </xf>
    <xf numFmtId="0" fontId="17" fillId="0" borderId="0" xfId="0" applyFont="1" applyAlignment="1">
      <alignment horizontal="center"/>
    </xf>
    <xf numFmtId="166" fontId="17" fillId="0" borderId="0" xfId="0" applyNumberFormat="1" applyFont="1" applyAlignment="1">
      <alignment horizontal="center"/>
    </xf>
    <xf numFmtId="4" fontId="16" fillId="0" borderId="5" xfId="0" applyNumberFormat="1" applyFont="1" applyBorder="1" applyAlignment="1">
      <alignment horizontal="center"/>
    </xf>
    <xf numFmtId="166" fontId="16" fillId="0" borderId="0" xfId="0" applyNumberFormat="1" applyFont="1"/>
    <xf numFmtId="166" fontId="16" fillId="0" borderId="5" xfId="0" applyNumberFormat="1" applyFont="1" applyBorder="1" applyAlignment="1">
      <alignment horizontal="center"/>
    </xf>
    <xf numFmtId="166" fontId="16" fillId="0" borderId="4" xfId="0" applyNumberFormat="1" applyFont="1" applyBorder="1" applyAlignment="1">
      <alignment horizontal="center"/>
    </xf>
    <xf numFmtId="166" fontId="16" fillId="0" borderId="6" xfId="0" applyNumberFormat="1" applyFont="1" applyBorder="1" applyAlignment="1">
      <alignment horizontal="center"/>
    </xf>
    <xf numFmtId="2" fontId="13" fillId="0" borderId="0" xfId="0" applyNumberFormat="1" applyFont="1"/>
    <xf numFmtId="2" fontId="13" fillId="0" borderId="0" xfId="0" applyNumberFormat="1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2" fontId="20" fillId="0" borderId="0" xfId="0" applyNumberFormat="1" applyFont="1" applyAlignment="1">
      <alignment horizontal="center"/>
    </xf>
    <xf numFmtId="166" fontId="14" fillId="0" borderId="0" xfId="0" applyNumberFormat="1" applyFont="1" applyAlignment="1">
      <alignment horizontal="center"/>
    </xf>
    <xf numFmtId="0" fontId="14" fillId="0" borderId="0" xfId="0" applyFont="1" applyAlignment="1">
      <alignment horizontal="center"/>
    </xf>
    <xf numFmtId="0" fontId="23" fillId="0" borderId="8" xfId="0" applyFont="1" applyBorder="1" applyAlignment="1">
      <alignment horizontal="center"/>
    </xf>
    <xf numFmtId="166" fontId="13" fillId="0" borderId="8" xfId="0" applyNumberFormat="1" applyFont="1" applyBorder="1" applyAlignment="1">
      <alignment vertical="center" wrapText="1"/>
    </xf>
    <xf numFmtId="166" fontId="14" fillId="0" borderId="2" xfId="0" applyNumberFormat="1" applyFont="1" applyBorder="1" applyAlignment="1">
      <alignment horizontal="center"/>
    </xf>
    <xf numFmtId="166" fontId="14" fillId="0" borderId="0" xfId="0" applyNumberFormat="1" applyFont="1"/>
    <xf numFmtId="166" fontId="13" fillId="0" borderId="8" xfId="0" applyNumberFormat="1" applyFont="1" applyBorder="1" applyAlignment="1">
      <alignment horizontal="center" wrapText="1"/>
    </xf>
    <xf numFmtId="2" fontId="32" fillId="0" borderId="0" xfId="7" applyNumberFormat="1" applyFont="1" applyAlignment="1">
      <alignment horizontal="center"/>
    </xf>
    <xf numFmtId="166" fontId="32" fillId="0" borderId="7" xfId="7" applyNumberFormat="1" applyFont="1" applyBorder="1" applyAlignment="1">
      <alignment horizontal="center"/>
    </xf>
    <xf numFmtId="166" fontId="32" fillId="0" borderId="6" xfId="7" applyNumberFormat="1" applyFont="1" applyBorder="1" applyAlignment="1">
      <alignment horizontal="center"/>
    </xf>
    <xf numFmtId="166" fontId="32" fillId="0" borderId="0" xfId="7" applyNumberFormat="1" applyFont="1"/>
    <xf numFmtId="0" fontId="32" fillId="0" borderId="0" xfId="7" applyFont="1"/>
    <xf numFmtId="166" fontId="32" fillId="0" borderId="0" xfId="7" applyNumberFormat="1" applyFont="1" applyAlignment="1">
      <alignment horizontal="center"/>
    </xf>
    <xf numFmtId="0" fontId="14" fillId="0" borderId="0" xfId="4" applyFont="1" applyAlignment="1">
      <alignment horizontal="center" vertical="top"/>
    </xf>
    <xf numFmtId="0" fontId="13" fillId="0" borderId="0" xfId="0" applyFont="1" applyAlignment="1">
      <alignment wrapText="1"/>
    </xf>
    <xf numFmtId="0" fontId="14" fillId="0" borderId="0" xfId="4" applyFont="1" applyAlignment="1">
      <alignment horizontal="center" vertical="center"/>
    </xf>
    <xf numFmtId="2" fontId="14" fillId="0" borderId="0" xfId="4" applyNumberFormat="1" applyFont="1" applyAlignment="1">
      <alignment horizontal="center" vertical="top"/>
    </xf>
    <xf numFmtId="0" fontId="1" fillId="0" borderId="0" xfId="4" applyAlignment="1">
      <alignment vertical="center"/>
    </xf>
    <xf numFmtId="2" fontId="14" fillId="0" borderId="0" xfId="4" applyNumberFormat="1" applyFont="1" applyAlignment="1">
      <alignment horizontal="center" vertical="center"/>
    </xf>
    <xf numFmtId="166" fontId="13" fillId="0" borderId="0" xfId="0" applyNumberFormat="1" applyFont="1" applyAlignment="1">
      <alignment vertical="center" wrapText="1"/>
    </xf>
    <xf numFmtId="0" fontId="24" fillId="0" borderId="0" xfId="4" applyFont="1"/>
    <xf numFmtId="0" fontId="35" fillId="0" borderId="0" xfId="4" applyFont="1" applyAlignment="1">
      <alignment wrapText="1"/>
    </xf>
    <xf numFmtId="0" fontId="30" fillId="2" borderId="9" xfId="4" applyFont="1" applyFill="1" applyBorder="1" applyAlignment="1">
      <alignment vertical="center" wrapText="1"/>
    </xf>
    <xf numFmtId="0" fontId="30" fillId="2" borderId="11" xfId="4" applyFont="1" applyFill="1" applyBorder="1" applyAlignment="1">
      <alignment vertical="center" wrapText="1"/>
    </xf>
    <xf numFmtId="168" fontId="14" fillId="0" borderId="0" xfId="4" applyNumberFormat="1" applyFont="1" applyAlignment="1">
      <alignment horizontal="left" wrapText="1"/>
    </xf>
    <xf numFmtId="17" fontId="17" fillId="0" borderId="0" xfId="0" applyNumberFormat="1" applyFont="1"/>
    <xf numFmtId="0" fontId="17" fillId="2" borderId="9" xfId="4" applyFont="1" applyFill="1" applyBorder="1" applyAlignment="1">
      <alignment horizontal="center" vertical="center" wrapText="1"/>
    </xf>
    <xf numFmtId="0" fontId="17" fillId="2" borderId="11" xfId="4" applyFont="1" applyFill="1" applyBorder="1" applyAlignment="1">
      <alignment vertical="center" wrapText="1"/>
    </xf>
    <xf numFmtId="0" fontId="14" fillId="0" borderId="0" xfId="4" applyFont="1" applyAlignment="1">
      <alignment horizontal="center"/>
    </xf>
    <xf numFmtId="2" fontId="14" fillId="0" borderId="0" xfId="4" applyNumberFormat="1" applyFont="1" applyAlignment="1">
      <alignment horizontal="center"/>
    </xf>
    <xf numFmtId="0" fontId="14" fillId="0" borderId="0" xfId="8" applyFont="1"/>
    <xf numFmtId="0" fontId="36" fillId="0" borderId="0" xfId="7" applyFont="1"/>
    <xf numFmtId="0" fontId="37" fillId="0" borderId="0" xfId="0" applyFont="1"/>
    <xf numFmtId="0" fontId="34" fillId="2" borderId="10" xfId="7" applyFont="1" applyFill="1" applyBorder="1" applyAlignment="1">
      <alignment horizontal="center" vertical="center"/>
    </xf>
    <xf numFmtId="0" fontId="34" fillId="2" borderId="11" xfId="7" applyFont="1" applyFill="1" applyBorder="1" applyAlignment="1">
      <alignment horizontal="center" vertical="center"/>
    </xf>
    <xf numFmtId="0" fontId="38" fillId="0" borderId="8" xfId="0" applyFont="1" applyBorder="1" applyAlignment="1">
      <alignment horizontal="left" indent="2"/>
    </xf>
    <xf numFmtId="0" fontId="34" fillId="2" borderId="9" xfId="7" applyFont="1" applyFill="1" applyBorder="1" applyAlignment="1">
      <alignment vertical="center"/>
    </xf>
    <xf numFmtId="2" fontId="34" fillId="2" borderId="10" xfId="7" applyNumberFormat="1" applyFont="1" applyFill="1" applyBorder="1" applyAlignment="1">
      <alignment horizontal="center" vertical="center"/>
    </xf>
    <xf numFmtId="166" fontId="34" fillId="2" borderId="11" xfId="1" applyNumberFormat="1" applyFont="1" applyFill="1" applyBorder="1" applyAlignment="1">
      <alignment horizontal="center" vertical="center"/>
    </xf>
    <xf numFmtId="166" fontId="32" fillId="0" borderId="0" xfId="7" applyNumberFormat="1" applyFont="1" applyAlignment="1">
      <alignment horizontal="center" vertical="center"/>
    </xf>
    <xf numFmtId="0" fontId="32" fillId="0" borderId="0" xfId="7" applyFont="1" applyAlignment="1">
      <alignment vertical="center"/>
    </xf>
    <xf numFmtId="0" fontId="32" fillId="0" borderId="8" xfId="7" applyFont="1" applyBorder="1"/>
    <xf numFmtId="166" fontId="33" fillId="0" borderId="7" xfId="1" applyNumberFormat="1" applyFont="1" applyBorder="1" applyAlignment="1">
      <alignment horizontal="center"/>
    </xf>
    <xf numFmtId="10" fontId="32" fillId="0" borderId="0" xfId="7" applyNumberFormat="1" applyFont="1" applyAlignment="1">
      <alignment horizontal="center"/>
    </xf>
    <xf numFmtId="0" fontId="34" fillId="2" borderId="9" xfId="7" applyFont="1" applyFill="1" applyBorder="1" applyAlignment="1">
      <alignment vertical="center" wrapText="1"/>
    </xf>
    <xf numFmtId="0" fontId="34" fillId="0" borderId="1" xfId="7" applyFont="1" applyBorder="1" applyAlignment="1">
      <alignment vertical="center" wrapText="1"/>
    </xf>
    <xf numFmtId="2" fontId="34" fillId="0" borderId="2" xfId="7" applyNumberFormat="1" applyFont="1" applyBorder="1" applyAlignment="1">
      <alignment horizontal="center" vertical="center"/>
    </xf>
    <xf numFmtId="166" fontId="34" fillId="0" borderId="3" xfId="1" applyNumberFormat="1" applyFont="1" applyFill="1" applyBorder="1" applyAlignment="1">
      <alignment horizontal="center" vertical="center"/>
    </xf>
    <xf numFmtId="0" fontId="32" fillId="0" borderId="8" xfId="7" applyFont="1" applyBorder="1" applyAlignment="1">
      <alignment horizontal="left" vertical="center" wrapText="1" indent="2"/>
    </xf>
    <xf numFmtId="2" fontId="32" fillId="0" borderId="0" xfId="7" applyNumberFormat="1" applyFont="1" applyAlignment="1">
      <alignment horizontal="center" vertical="center"/>
    </xf>
    <xf numFmtId="166" fontId="32" fillId="0" borderId="7" xfId="1" applyNumberFormat="1" applyFont="1" applyFill="1" applyBorder="1" applyAlignment="1">
      <alignment horizontal="center" vertical="center"/>
    </xf>
    <xf numFmtId="0" fontId="32" fillId="0" borderId="4" xfId="7" applyFont="1" applyBorder="1"/>
    <xf numFmtId="2" fontId="32" fillId="0" borderId="5" xfId="7" applyNumberFormat="1" applyFont="1" applyBorder="1" applyAlignment="1">
      <alignment horizontal="center"/>
    </xf>
    <xf numFmtId="0" fontId="32" fillId="0" borderId="0" xfId="7" applyFont="1" applyAlignment="1">
      <alignment horizontal="left" wrapText="1"/>
    </xf>
    <xf numFmtId="2" fontId="32" fillId="0" borderId="0" xfId="1" applyNumberFormat="1" applyFont="1" applyFill="1" applyBorder="1" applyAlignment="1">
      <alignment horizontal="center"/>
    </xf>
    <xf numFmtId="166" fontId="32" fillId="0" borderId="0" xfId="1" applyNumberFormat="1" applyFont="1" applyFill="1" applyBorder="1" applyAlignment="1">
      <alignment horizontal="center"/>
    </xf>
    <xf numFmtId="0" fontId="32" fillId="0" borderId="0" xfId="7" applyFont="1" applyAlignment="1">
      <alignment wrapText="1"/>
    </xf>
    <xf numFmtId="0" fontId="39" fillId="0" borderId="0" xfId="7" applyFont="1" applyAlignment="1">
      <alignment wrapText="1"/>
    </xf>
    <xf numFmtId="2" fontId="39" fillId="0" borderId="0" xfId="7" applyNumberFormat="1" applyFont="1" applyAlignment="1">
      <alignment horizontal="center" wrapText="1"/>
    </xf>
    <xf numFmtId="166" fontId="39" fillId="0" borderId="0" xfId="1" applyNumberFormat="1" applyFont="1" applyFill="1" applyBorder="1" applyAlignment="1">
      <alignment horizontal="center"/>
    </xf>
    <xf numFmtId="0" fontId="34" fillId="0" borderId="0" xfId="7" applyFont="1" applyAlignment="1">
      <alignment wrapText="1"/>
    </xf>
    <xf numFmtId="2" fontId="39" fillId="0" borderId="0" xfId="7" applyNumberFormat="1" applyFont="1" applyAlignment="1">
      <alignment horizontal="center"/>
    </xf>
    <xf numFmtId="166" fontId="34" fillId="0" borderId="0" xfId="7" applyNumberFormat="1" applyFont="1" applyAlignment="1">
      <alignment horizontal="center"/>
    </xf>
    <xf numFmtId="17" fontId="37" fillId="0" borderId="0" xfId="0" applyNumberFormat="1" applyFont="1"/>
    <xf numFmtId="2" fontId="14" fillId="0" borderId="0" xfId="0" applyNumberFormat="1" applyFont="1" applyAlignment="1">
      <alignment horizontal="center"/>
    </xf>
    <xf numFmtId="2" fontId="16" fillId="0" borderId="0" xfId="0" applyNumberFormat="1" applyFont="1" applyAlignment="1">
      <alignment horizontal="center"/>
    </xf>
    <xf numFmtId="166" fontId="16" fillId="0" borderId="2" xfId="0" applyNumberFormat="1" applyFont="1" applyBorder="1"/>
    <xf numFmtId="0" fontId="16" fillId="0" borderId="2" xfId="0" applyFont="1" applyBorder="1"/>
    <xf numFmtId="2" fontId="17" fillId="0" borderId="0" xfId="0" applyNumberFormat="1" applyFont="1" applyAlignment="1">
      <alignment horizontal="center"/>
    </xf>
    <xf numFmtId="2" fontId="27" fillId="0" borderId="0" xfId="0" applyNumberFormat="1" applyFont="1" applyAlignment="1">
      <alignment horizontal="center"/>
    </xf>
    <xf numFmtId="0" fontId="16" fillId="0" borderId="0" xfId="0" applyFont="1" applyAlignment="1">
      <alignment horizontal="left" wrapText="1"/>
    </xf>
    <xf numFmtId="0" fontId="16" fillId="0" borderId="0" xfId="0" applyFont="1" applyAlignment="1">
      <alignment wrapText="1"/>
    </xf>
    <xf numFmtId="2" fontId="16" fillId="0" borderId="0" xfId="2" applyNumberFormat="1" applyFont="1" applyBorder="1" applyAlignment="1">
      <alignment horizontal="center"/>
    </xf>
    <xf numFmtId="0" fontId="24" fillId="0" borderId="0" xfId="0" applyFont="1" applyAlignment="1">
      <alignment wrapText="1"/>
    </xf>
    <xf numFmtId="167" fontId="25" fillId="0" borderId="0" xfId="0" applyNumberFormat="1" applyFont="1" applyAlignment="1">
      <alignment wrapText="1"/>
    </xf>
    <xf numFmtId="0" fontId="16" fillId="0" borderId="4" xfId="0" applyFont="1" applyBorder="1" applyAlignment="1">
      <alignment horizontal="center"/>
    </xf>
    <xf numFmtId="167" fontId="19" fillId="0" borderId="5" xfId="0" applyNumberFormat="1" applyFont="1" applyBorder="1" applyAlignment="1">
      <alignment wrapText="1"/>
    </xf>
    <xf numFmtId="2" fontId="16" fillId="0" borderId="5" xfId="0" applyNumberFormat="1" applyFont="1" applyBorder="1" applyAlignment="1">
      <alignment horizontal="center"/>
    </xf>
    <xf numFmtId="0" fontId="22" fillId="0" borderId="0" xfId="0" applyFont="1"/>
    <xf numFmtId="0" fontId="21" fillId="0" borderId="0" xfId="0" applyFont="1" applyAlignment="1">
      <alignment horizontal="left" wrapText="1"/>
    </xf>
    <xf numFmtId="167" fontId="24" fillId="0" borderId="0" xfId="0" applyNumberFormat="1" applyFont="1" applyAlignment="1">
      <alignment wrapText="1"/>
    </xf>
    <xf numFmtId="0" fontId="23" fillId="0" borderId="4" xfId="0" applyFont="1" applyBorder="1" applyAlignment="1">
      <alignment horizontal="center"/>
    </xf>
    <xf numFmtId="167" fontId="24" fillId="0" borderId="5" xfId="0" applyNumberFormat="1" applyFont="1" applyBorder="1" applyAlignment="1">
      <alignment wrapText="1"/>
    </xf>
    <xf numFmtId="1" fontId="16" fillId="0" borderId="5" xfId="0" applyNumberFormat="1" applyFont="1" applyBorder="1" applyAlignment="1">
      <alignment horizontal="center"/>
    </xf>
    <xf numFmtId="0" fontId="21" fillId="0" borderId="0" xfId="0" applyFont="1" applyAlignment="1">
      <alignment wrapText="1"/>
    </xf>
    <xf numFmtId="0" fontId="21" fillId="0" borderId="0" xfId="0" applyFont="1"/>
    <xf numFmtId="2" fontId="24" fillId="0" borderId="0" xfId="0" applyNumberFormat="1" applyFont="1" applyAlignment="1">
      <alignment horizontal="center"/>
    </xf>
    <xf numFmtId="0" fontId="16" fillId="0" borderId="0" xfId="0" applyFont="1" applyAlignment="1">
      <alignment horizontal="center" vertical="center"/>
    </xf>
    <xf numFmtId="0" fontId="16" fillId="0" borderId="0" xfId="0" applyFont="1" applyAlignment="1">
      <alignment horizontal="left"/>
    </xf>
    <xf numFmtId="0" fontId="23" fillId="0" borderId="0" xfId="0" applyFont="1" applyAlignment="1">
      <alignment horizontal="left"/>
    </xf>
    <xf numFmtId="2" fontId="16" fillId="0" borderId="5" xfId="0" applyNumberFormat="1" applyFont="1" applyBorder="1" applyAlignment="1">
      <alignment horizontal="left"/>
    </xf>
    <xf numFmtId="0" fontId="16" fillId="0" borderId="1" xfId="0" applyFont="1" applyBorder="1" applyAlignment="1">
      <alignment horizontal="center"/>
    </xf>
    <xf numFmtId="166" fontId="13" fillId="0" borderId="6" xfId="0" applyNumberFormat="1" applyFont="1" applyBorder="1" applyAlignment="1">
      <alignment horizontal="center"/>
    </xf>
    <xf numFmtId="0" fontId="13" fillId="0" borderId="3" xfId="0" applyFont="1" applyBorder="1"/>
    <xf numFmtId="0" fontId="13" fillId="0" borderId="6" xfId="0" applyFont="1" applyBorder="1"/>
    <xf numFmtId="0" fontId="40" fillId="2" borderId="9" xfId="0" applyFont="1" applyFill="1" applyBorder="1" applyAlignment="1">
      <alignment horizontal="center"/>
    </xf>
    <xf numFmtId="2" fontId="40" fillId="2" borderId="10" xfId="0" applyNumberFormat="1" applyFont="1" applyFill="1" applyBorder="1" applyAlignment="1">
      <alignment horizontal="center"/>
    </xf>
    <xf numFmtId="0" fontId="40" fillId="2" borderId="10" xfId="0" applyFont="1" applyFill="1" applyBorder="1"/>
    <xf numFmtId="166" fontId="14" fillId="2" borderId="10" xfId="0" applyNumberFormat="1" applyFont="1" applyFill="1" applyBorder="1"/>
    <xf numFmtId="0" fontId="41" fillId="2" borderId="10" xfId="0" applyFont="1" applyFill="1" applyBorder="1" applyAlignment="1">
      <alignment horizontal="left" vertical="center"/>
    </xf>
    <xf numFmtId="166" fontId="27" fillId="0" borderId="0" xfId="0" applyNumberFormat="1" applyFont="1" applyAlignment="1">
      <alignment horizontal="center"/>
    </xf>
    <xf numFmtId="166" fontId="32" fillId="0" borderId="8" xfId="7" applyNumberFormat="1" applyFont="1" applyBorder="1" applyAlignment="1">
      <alignment horizontal="center" vertical="center"/>
    </xf>
    <xf numFmtId="166" fontId="32" fillId="0" borderId="7" xfId="7" applyNumberFormat="1" applyFont="1" applyBorder="1" applyAlignment="1">
      <alignment horizontal="center" vertical="center"/>
    </xf>
    <xf numFmtId="166" fontId="14" fillId="2" borderId="11" xfId="0" applyNumberFormat="1" applyFont="1" applyFill="1" applyBorder="1"/>
    <xf numFmtId="166" fontId="16" fillId="0" borderId="7" xfId="0" applyNumberFormat="1" applyFont="1" applyBorder="1"/>
    <xf numFmtId="166" fontId="17" fillId="0" borderId="7" xfId="0" applyNumberFormat="1" applyFont="1" applyBorder="1" applyAlignment="1">
      <alignment horizontal="center"/>
    </xf>
    <xf numFmtId="166" fontId="16" fillId="0" borderId="7" xfId="0" applyNumberFormat="1" applyFont="1" applyBorder="1" applyAlignment="1">
      <alignment horizontal="center"/>
    </xf>
    <xf numFmtId="166" fontId="17" fillId="0" borderId="12" xfId="0" applyNumberFormat="1" applyFont="1" applyBorder="1" applyAlignment="1">
      <alignment horizontal="center"/>
    </xf>
    <xf numFmtId="166" fontId="16" fillId="0" borderId="13" xfId="0" applyNumberFormat="1" applyFont="1" applyBorder="1" applyAlignment="1">
      <alignment horizontal="center"/>
    </xf>
    <xf numFmtId="0" fontId="16" fillId="0" borderId="7" xfId="0" applyFont="1" applyBorder="1"/>
    <xf numFmtId="0" fontId="17" fillId="0" borderId="7" xfId="0" applyFont="1" applyBorder="1" applyAlignment="1">
      <alignment horizontal="center"/>
    </xf>
    <xf numFmtId="0" fontId="16" fillId="0" borderId="8" xfId="0" applyFont="1" applyBorder="1"/>
    <xf numFmtId="0" fontId="17" fillId="0" borderId="8" xfId="0" applyFont="1" applyBorder="1" applyAlignment="1">
      <alignment horizontal="center"/>
    </xf>
    <xf numFmtId="0" fontId="40" fillId="2" borderId="9" xfId="0" applyFont="1" applyFill="1" applyBorder="1" applyAlignment="1">
      <alignment horizontal="center" vertical="center"/>
    </xf>
    <xf numFmtId="0" fontId="41" fillId="2" borderId="10" xfId="0" applyFont="1" applyFill="1" applyBorder="1" applyAlignment="1">
      <alignment vertical="center"/>
    </xf>
    <xf numFmtId="2" fontId="40" fillId="2" borderId="10" xfId="0" applyNumberFormat="1" applyFont="1" applyFill="1" applyBorder="1" applyAlignment="1">
      <alignment horizontal="center" vertical="center"/>
    </xf>
    <xf numFmtId="0" fontId="40" fillId="2" borderId="10" xfId="0" applyFont="1" applyFill="1" applyBorder="1" applyAlignment="1">
      <alignment vertical="center"/>
    </xf>
    <xf numFmtId="166" fontId="14" fillId="2" borderId="10" xfId="0" applyNumberFormat="1" applyFont="1" applyFill="1" applyBorder="1" applyAlignment="1">
      <alignment vertical="center"/>
    </xf>
    <xf numFmtId="1" fontId="40" fillId="2" borderId="10" xfId="0" applyNumberFormat="1" applyFont="1" applyFill="1" applyBorder="1" applyAlignment="1">
      <alignment horizontal="center" vertical="center"/>
    </xf>
    <xf numFmtId="166" fontId="34" fillId="2" borderId="9" xfId="7" applyNumberFormat="1" applyFont="1" applyFill="1" applyBorder="1" applyAlignment="1">
      <alignment horizontal="center" vertical="center"/>
    </xf>
    <xf numFmtId="166" fontId="13" fillId="0" borderId="8" xfId="0" applyNumberFormat="1" applyFont="1" applyBorder="1" applyAlignment="1">
      <alignment horizontal="center"/>
    </xf>
    <xf numFmtId="166" fontId="13" fillId="0" borderId="4" xfId="0" applyNumberFormat="1" applyFont="1" applyBorder="1" applyAlignment="1">
      <alignment horizontal="center"/>
    </xf>
    <xf numFmtId="166" fontId="14" fillId="2" borderId="11" xfId="0" applyNumberFormat="1" applyFont="1" applyFill="1" applyBorder="1" applyAlignment="1">
      <alignment vertical="center"/>
    </xf>
    <xf numFmtId="0" fontId="10" fillId="2" borderId="9" xfId="0" applyFont="1" applyFill="1" applyBorder="1" applyAlignment="1">
      <alignment horizontal="center"/>
    </xf>
    <xf numFmtId="0" fontId="11" fillId="2" borderId="10" xfId="0" applyFont="1" applyFill="1" applyBorder="1" applyAlignment="1">
      <alignment vertical="center"/>
    </xf>
    <xf numFmtId="2" fontId="10" fillId="2" borderId="10" xfId="0" applyNumberFormat="1" applyFont="1" applyFill="1" applyBorder="1" applyAlignment="1">
      <alignment horizontal="center"/>
    </xf>
    <xf numFmtId="0" fontId="10" fillId="2" borderId="10" xfId="0" applyFont="1" applyFill="1" applyBorder="1"/>
    <xf numFmtId="166" fontId="13" fillId="2" borderId="10" xfId="0" applyNumberFormat="1" applyFont="1" applyFill="1" applyBorder="1"/>
    <xf numFmtId="166" fontId="13" fillId="2" borderId="11" xfId="0" applyNumberFormat="1" applyFont="1" applyFill="1" applyBorder="1"/>
    <xf numFmtId="0" fontId="8" fillId="0" borderId="7" xfId="0" applyFont="1" applyBorder="1" applyAlignment="1">
      <alignment horizontal="center"/>
    </xf>
    <xf numFmtId="0" fontId="13" fillId="0" borderId="5" xfId="0" applyFont="1" applyBorder="1"/>
    <xf numFmtId="0" fontId="16" fillId="0" borderId="2" xfId="0" applyFont="1" applyBorder="1" applyAlignment="1">
      <alignment horizontal="center"/>
    </xf>
    <xf numFmtId="2" fontId="16" fillId="0" borderId="2" xfId="0" applyNumberFormat="1" applyFont="1" applyBorder="1" applyAlignment="1">
      <alignment horizontal="center"/>
    </xf>
    <xf numFmtId="166" fontId="16" fillId="0" borderId="3" xfId="0" applyNumberFormat="1" applyFont="1" applyBorder="1"/>
    <xf numFmtId="166" fontId="13" fillId="0" borderId="8" xfId="0" applyNumberFormat="1" applyFont="1" applyBorder="1" applyAlignment="1">
      <alignment horizontal="left"/>
    </xf>
    <xf numFmtId="0" fontId="32" fillId="0" borderId="0" xfId="7" applyFont="1" applyAlignment="1">
      <alignment horizontal="center" vertical="center"/>
    </xf>
    <xf numFmtId="0" fontId="32" fillId="0" borderId="7" xfId="7" applyFont="1" applyBorder="1" applyAlignment="1">
      <alignment horizontal="center" vertical="center"/>
    </xf>
    <xf numFmtId="166" fontId="32" fillId="0" borderId="4" xfId="7" applyNumberFormat="1" applyFont="1" applyBorder="1" applyAlignment="1">
      <alignment horizontal="center" vertical="center"/>
    </xf>
    <xf numFmtId="166" fontId="32" fillId="0" borderId="5" xfId="7" applyNumberFormat="1" applyFont="1" applyBorder="1" applyAlignment="1">
      <alignment horizontal="center" vertical="center"/>
    </xf>
    <xf numFmtId="0" fontId="32" fillId="0" borderId="6" xfId="7" applyFont="1" applyBorder="1" applyAlignment="1">
      <alignment horizontal="center" vertical="center"/>
    </xf>
    <xf numFmtId="166" fontId="34" fillId="0" borderId="7" xfId="7" applyNumberFormat="1" applyFont="1" applyBorder="1" applyAlignment="1">
      <alignment horizontal="center" vertical="center"/>
    </xf>
    <xf numFmtId="166" fontId="32" fillId="3" borderId="8" xfId="7" applyNumberFormat="1" applyFont="1" applyFill="1" applyBorder="1" applyAlignment="1">
      <alignment horizontal="center" vertical="center"/>
    </xf>
    <xf numFmtId="166" fontId="32" fillId="4" borderId="0" xfId="7" applyNumberFormat="1" applyFont="1" applyFill="1" applyAlignment="1">
      <alignment horizontal="center" vertical="center"/>
    </xf>
    <xf numFmtId="166" fontId="34" fillId="4" borderId="0" xfId="7" applyNumberFormat="1" applyFont="1" applyFill="1" applyAlignment="1">
      <alignment horizontal="center" vertical="center"/>
    </xf>
    <xf numFmtId="166" fontId="34" fillId="3" borderId="8" xfId="7" applyNumberFormat="1" applyFont="1" applyFill="1" applyBorder="1" applyAlignment="1">
      <alignment horizontal="center" vertical="center"/>
    </xf>
    <xf numFmtId="1" fontId="17" fillId="0" borderId="0" xfId="0" applyNumberFormat="1" applyFont="1" applyAlignment="1">
      <alignment horizontal="center"/>
    </xf>
    <xf numFmtId="1" fontId="10" fillId="2" borderId="10" xfId="0" applyNumberFormat="1" applyFont="1" applyFill="1" applyBorder="1" applyAlignment="1">
      <alignment horizontal="center"/>
    </xf>
    <xf numFmtId="0" fontId="13" fillId="2" borderId="11" xfId="0" applyFont="1" applyFill="1" applyBorder="1"/>
    <xf numFmtId="166" fontId="17" fillId="0" borderId="14" xfId="0" applyNumberFormat="1" applyFont="1" applyBorder="1" applyAlignment="1">
      <alignment horizontal="center"/>
    </xf>
    <xf numFmtId="166" fontId="17" fillId="0" borderId="15" xfId="0" applyNumberFormat="1" applyFont="1" applyBorder="1" applyAlignment="1">
      <alignment horizontal="center"/>
    </xf>
    <xf numFmtId="0" fontId="13" fillId="0" borderId="16" xfId="0" applyFont="1" applyBorder="1"/>
    <xf numFmtId="166" fontId="16" fillId="0" borderId="8" xfId="0" applyNumberFormat="1" applyFont="1" applyBorder="1"/>
    <xf numFmtId="166" fontId="24" fillId="0" borderId="0" xfId="0" applyNumberFormat="1" applyFont="1"/>
    <xf numFmtId="166" fontId="13" fillId="0" borderId="1" xfId="0" applyNumberFormat="1" applyFont="1" applyBorder="1"/>
    <xf numFmtId="166" fontId="13" fillId="0" borderId="2" xfId="0" applyNumberFormat="1" applyFont="1" applyBorder="1"/>
    <xf numFmtId="166" fontId="16" fillId="0" borderId="8" xfId="0" applyNumberFormat="1" applyFont="1" applyBorder="1" applyAlignment="1">
      <alignment horizontal="left" vertical="top"/>
    </xf>
    <xf numFmtId="0" fontId="43" fillId="0" borderId="0" xfId="4" applyFont="1" applyAlignment="1">
      <alignment wrapText="1"/>
    </xf>
    <xf numFmtId="2" fontId="8" fillId="0" borderId="0" xfId="0" applyNumberFormat="1" applyFont="1" applyAlignment="1">
      <alignment horizontal="center"/>
    </xf>
    <xf numFmtId="0" fontId="8" fillId="0" borderId="0" xfId="0" applyFont="1" applyAlignment="1">
      <alignment horizontal="center"/>
    </xf>
    <xf numFmtId="166" fontId="8" fillId="0" borderId="7" xfId="0" applyNumberFormat="1" applyFont="1" applyBorder="1" applyAlignment="1">
      <alignment horizontal="center"/>
    </xf>
    <xf numFmtId="166" fontId="34" fillId="0" borderId="0" xfId="7" applyNumberFormat="1" applyFont="1" applyAlignment="1">
      <alignment horizontal="center" vertical="center"/>
    </xf>
    <xf numFmtId="0" fontId="34" fillId="0" borderId="7" xfId="7" applyFont="1" applyBorder="1" applyAlignment="1">
      <alignment horizontal="center" vertical="center"/>
    </xf>
    <xf numFmtId="0" fontId="32" fillId="0" borderId="5" xfId="7" applyFont="1" applyBorder="1" applyAlignment="1">
      <alignment horizontal="center" vertical="center"/>
    </xf>
    <xf numFmtId="2" fontId="47" fillId="0" borderId="0" xfId="0" applyNumberFormat="1" applyFont="1" applyAlignment="1">
      <alignment horizontal="center" vertical="center"/>
    </xf>
    <xf numFmtId="0" fontId="0" fillId="0" borderId="0" xfId="0" applyProtection="1">
      <protection locked="0"/>
    </xf>
    <xf numFmtId="0" fontId="31" fillId="2" borderId="9" xfId="7" applyFont="1" applyFill="1" applyBorder="1" applyAlignment="1" applyProtection="1">
      <alignment horizontal="center" vertical="center"/>
      <protection locked="0"/>
    </xf>
    <xf numFmtId="0" fontId="31" fillId="2" borderId="10" xfId="7" applyFont="1" applyFill="1" applyBorder="1" applyAlignment="1" applyProtection="1">
      <alignment horizontal="center" vertical="center"/>
      <protection locked="0"/>
    </xf>
    <xf numFmtId="0" fontId="31" fillId="2" borderId="11" xfId="7" applyFont="1" applyFill="1" applyBorder="1" applyAlignment="1" applyProtection="1">
      <alignment horizontal="center" vertical="center"/>
      <protection locked="0"/>
    </xf>
    <xf numFmtId="0" fontId="44" fillId="0" borderId="8" xfId="0" applyFont="1" applyBorder="1" applyProtection="1">
      <protection locked="0"/>
    </xf>
    <xf numFmtId="2" fontId="32" fillId="0" borderId="0" xfId="7" applyNumberFormat="1" applyFont="1" applyAlignment="1" applyProtection="1">
      <alignment horizontal="center"/>
      <protection locked="0"/>
    </xf>
    <xf numFmtId="0" fontId="45" fillId="0" borderId="0" xfId="7" applyFont="1" applyAlignment="1" applyProtection="1">
      <alignment horizontal="center"/>
      <protection locked="0"/>
    </xf>
    <xf numFmtId="2" fontId="32" fillId="0" borderId="0" xfId="1" applyNumberFormat="1" applyFont="1" applyBorder="1" applyAlignment="1" applyProtection="1">
      <alignment horizontal="center"/>
      <protection locked="0"/>
    </xf>
    <xf numFmtId="166" fontId="32" fillId="0" borderId="7" xfId="7" applyNumberFormat="1" applyFont="1" applyBorder="1" applyAlignment="1" applyProtection="1">
      <alignment horizontal="center"/>
      <protection locked="0"/>
    </xf>
    <xf numFmtId="0" fontId="34" fillId="2" borderId="8" xfId="7" applyFont="1" applyFill="1" applyBorder="1" applyAlignment="1" applyProtection="1">
      <alignment vertical="center"/>
      <protection locked="0"/>
    </xf>
    <xf numFmtId="10" fontId="34" fillId="2" borderId="0" xfId="7" applyNumberFormat="1" applyFont="1" applyFill="1" applyAlignment="1" applyProtection="1">
      <alignment horizontal="center"/>
      <protection locked="0"/>
    </xf>
    <xf numFmtId="2" fontId="46" fillId="2" borderId="0" xfId="7" applyNumberFormat="1" applyFont="1" applyFill="1" applyAlignment="1" applyProtection="1">
      <alignment horizontal="center"/>
      <protection locked="0"/>
    </xf>
    <xf numFmtId="2" fontId="32" fillId="2" borderId="0" xfId="1" applyNumberFormat="1" applyFont="1" applyFill="1" applyBorder="1" applyAlignment="1" applyProtection="1">
      <alignment horizontal="center"/>
      <protection locked="0"/>
    </xf>
    <xf numFmtId="166" fontId="32" fillId="2" borderId="7" xfId="7" applyNumberFormat="1" applyFont="1" applyFill="1" applyBorder="1" applyAlignment="1" applyProtection="1">
      <alignment horizontal="center"/>
      <protection locked="0"/>
    </xf>
    <xf numFmtId="0" fontId="34" fillId="0" borderId="8" xfId="7" applyFont="1" applyBorder="1" applyAlignment="1" applyProtection="1">
      <alignment vertical="center"/>
      <protection locked="0"/>
    </xf>
    <xf numFmtId="10" fontId="34" fillId="0" borderId="0" xfId="7" applyNumberFormat="1" applyFont="1" applyAlignment="1" applyProtection="1">
      <alignment horizontal="center"/>
      <protection locked="0"/>
    </xf>
    <xf numFmtId="0" fontId="46" fillId="0" borderId="0" xfId="7" applyFont="1" applyAlignment="1" applyProtection="1">
      <alignment horizontal="center"/>
      <protection locked="0"/>
    </xf>
    <xf numFmtId="2" fontId="34" fillId="0" borderId="0" xfId="1" applyNumberFormat="1" applyFont="1" applyFill="1" applyBorder="1" applyAlignment="1" applyProtection="1">
      <alignment horizontal="center"/>
      <protection locked="0"/>
    </xf>
    <xf numFmtId="0" fontId="13" fillId="0" borderId="0" xfId="0" applyFont="1" applyAlignment="1" applyProtection="1">
      <alignment horizontal="center"/>
      <protection locked="0"/>
    </xf>
    <xf numFmtId="2" fontId="32" fillId="0" borderId="0" xfId="1" applyNumberFormat="1" applyFont="1" applyFill="1" applyBorder="1" applyAlignment="1" applyProtection="1">
      <alignment horizontal="center"/>
      <protection locked="0"/>
    </xf>
    <xf numFmtId="0" fontId="34" fillId="2" borderId="4" xfId="7" applyFont="1" applyFill="1" applyBorder="1" applyAlignment="1" applyProtection="1">
      <alignment vertical="center"/>
      <protection locked="0"/>
    </xf>
    <xf numFmtId="10" fontId="34" fillId="2" borderId="5" xfId="7" applyNumberFormat="1" applyFont="1" applyFill="1" applyBorder="1" applyAlignment="1" applyProtection="1">
      <alignment horizontal="center"/>
      <protection locked="0"/>
    </xf>
    <xf numFmtId="2" fontId="46" fillId="2" borderId="5" xfId="7" applyNumberFormat="1" applyFont="1" applyFill="1" applyBorder="1" applyAlignment="1" applyProtection="1">
      <alignment horizontal="center"/>
      <protection locked="0"/>
    </xf>
    <xf numFmtId="2" fontId="32" fillId="2" borderId="5" xfId="1" applyNumberFormat="1" applyFont="1" applyFill="1" applyBorder="1" applyAlignment="1" applyProtection="1">
      <alignment horizontal="center"/>
      <protection locked="0"/>
    </xf>
    <xf numFmtId="166" fontId="32" fillId="2" borderId="6" xfId="7" applyNumberFormat="1" applyFont="1" applyFill="1" applyBorder="1" applyAlignment="1" applyProtection="1">
      <alignment horizontal="center"/>
      <protection locked="0"/>
    </xf>
    <xf numFmtId="0" fontId="8" fillId="2" borderId="9" xfId="0" applyFont="1" applyFill="1" applyBorder="1" applyProtection="1">
      <protection locked="0"/>
    </xf>
    <xf numFmtId="166" fontId="8" fillId="2" borderId="11" xfId="0" applyNumberFormat="1" applyFont="1" applyFill="1" applyBorder="1" applyAlignment="1" applyProtection="1">
      <alignment horizontal="center"/>
      <protection locked="0"/>
    </xf>
    <xf numFmtId="1" fontId="13" fillId="2" borderId="8" xfId="0" applyNumberFormat="1" applyFont="1" applyFill="1" applyBorder="1" applyProtection="1">
      <protection locked="0"/>
    </xf>
    <xf numFmtId="165" fontId="16" fillId="2" borderId="7" xfId="0" applyNumberFormat="1" applyFont="1" applyFill="1" applyBorder="1" applyAlignment="1" applyProtection="1">
      <alignment horizontal="center"/>
      <protection locked="0"/>
    </xf>
    <xf numFmtId="1" fontId="13" fillId="0" borderId="8" xfId="0" applyNumberFormat="1" applyFont="1" applyBorder="1" applyProtection="1">
      <protection locked="0"/>
    </xf>
    <xf numFmtId="165" fontId="16" fillId="5" borderId="7" xfId="0" applyNumberFormat="1" applyFont="1" applyFill="1" applyBorder="1" applyAlignment="1" applyProtection="1">
      <alignment horizontal="center"/>
      <protection locked="0"/>
    </xf>
    <xf numFmtId="0" fontId="13" fillId="0" borderId="8" xfId="0" applyFont="1" applyBorder="1" applyProtection="1">
      <protection locked="0"/>
    </xf>
    <xf numFmtId="1" fontId="13" fillId="2" borderId="4" xfId="0" applyNumberFormat="1" applyFont="1" applyFill="1" applyBorder="1" applyProtection="1">
      <protection locked="0"/>
    </xf>
    <xf numFmtId="165" fontId="16" fillId="2" borderId="6" xfId="0" applyNumberFormat="1" applyFont="1" applyFill="1" applyBorder="1" applyAlignment="1" applyProtection="1">
      <alignment horizontal="center"/>
      <protection locked="0"/>
    </xf>
    <xf numFmtId="0" fontId="13" fillId="0" borderId="0" xfId="0" applyFont="1" applyAlignment="1" applyProtection="1">
      <alignment horizontal="right"/>
      <protection locked="0"/>
    </xf>
    <xf numFmtId="166" fontId="13" fillId="0" borderId="0" xfId="0" applyNumberFormat="1" applyFont="1" applyAlignment="1" applyProtection="1">
      <alignment horizontal="center"/>
      <protection locked="0"/>
    </xf>
    <xf numFmtId="0" fontId="13" fillId="0" borderId="0" xfId="0" applyFont="1" applyProtection="1">
      <protection locked="0"/>
    </xf>
    <xf numFmtId="1" fontId="13" fillId="0" borderId="0" xfId="0" applyNumberFormat="1" applyFont="1" applyAlignment="1" applyProtection="1">
      <alignment horizontal="center"/>
      <protection locked="0"/>
    </xf>
    <xf numFmtId="0" fontId="28" fillId="0" borderId="0" xfId="0" applyFont="1" applyAlignment="1" applyProtection="1">
      <alignment wrapText="1"/>
      <protection locked="0"/>
    </xf>
    <xf numFmtId="0" fontId="28" fillId="0" borderId="0" xfId="0" applyFont="1" applyProtection="1">
      <protection locked="0"/>
    </xf>
    <xf numFmtId="0" fontId="48" fillId="0" borderId="0" xfId="0" applyFont="1" applyProtection="1">
      <protection locked="0"/>
    </xf>
    <xf numFmtId="0" fontId="29" fillId="0" borderId="0" xfId="0" applyFont="1" applyAlignment="1" applyProtection="1">
      <alignment horizontal="center"/>
      <protection locked="0"/>
    </xf>
    <xf numFmtId="0" fontId="48" fillId="0" borderId="0" xfId="0" applyFont="1" applyAlignment="1" applyProtection="1">
      <alignment horizontal="center"/>
      <protection locked="0"/>
    </xf>
    <xf numFmtId="1" fontId="28" fillId="0" borderId="0" xfId="0" applyNumberFormat="1" applyFont="1" applyAlignment="1" applyProtection="1">
      <alignment horizontal="center"/>
      <protection locked="0"/>
    </xf>
    <xf numFmtId="166" fontId="28" fillId="0" borderId="0" xfId="0" applyNumberFormat="1" applyFont="1" applyAlignment="1" applyProtection="1">
      <alignment horizontal="center"/>
      <protection locked="0"/>
    </xf>
    <xf numFmtId="0" fontId="28" fillId="0" borderId="0" xfId="0" applyFont="1" applyAlignment="1" applyProtection="1">
      <alignment horizontal="center"/>
      <protection locked="0"/>
    </xf>
    <xf numFmtId="166" fontId="53" fillId="0" borderId="0" xfId="7" applyNumberFormat="1" applyFont="1" applyProtection="1">
      <protection locked="0"/>
    </xf>
    <xf numFmtId="0" fontId="53" fillId="0" borderId="0" xfId="7" applyFont="1" applyProtection="1">
      <protection locked="0"/>
    </xf>
    <xf numFmtId="0" fontId="53" fillId="0" borderId="0" xfId="7" applyFont="1" applyAlignment="1" applyProtection="1">
      <alignment horizontal="center"/>
      <protection locked="0"/>
    </xf>
    <xf numFmtId="0" fontId="54" fillId="0" borderId="0" xfId="0" applyFont="1" applyAlignment="1" applyProtection="1">
      <alignment horizontal="center"/>
      <protection locked="0"/>
    </xf>
    <xf numFmtId="166" fontId="55" fillId="0" borderId="0" xfId="7" applyNumberFormat="1" applyFont="1" applyProtection="1">
      <protection locked="0"/>
    </xf>
    <xf numFmtId="0" fontId="55" fillId="0" borderId="0" xfId="7" applyFont="1" applyProtection="1">
      <protection locked="0"/>
    </xf>
    <xf numFmtId="166" fontId="53" fillId="0" borderId="0" xfId="7" applyNumberFormat="1" applyFont="1" applyAlignment="1" applyProtection="1">
      <alignment horizontal="center"/>
      <protection locked="0"/>
    </xf>
    <xf numFmtId="0" fontId="49" fillId="0" borderId="0" xfId="0" applyFont="1"/>
    <xf numFmtId="166" fontId="50" fillId="0" borderId="0" xfId="7" applyNumberFormat="1" applyFont="1" applyAlignment="1">
      <alignment horizontal="center"/>
    </xf>
    <xf numFmtId="0" fontId="50" fillId="0" borderId="0" xfId="7" applyFont="1"/>
    <xf numFmtId="166" fontId="50" fillId="0" borderId="0" xfId="7" applyNumberFormat="1" applyFont="1"/>
    <xf numFmtId="0" fontId="49" fillId="0" borderId="0" xfId="0" applyFont="1" applyAlignment="1">
      <alignment horizontal="center"/>
    </xf>
    <xf numFmtId="0" fontId="50" fillId="0" borderId="0" xfId="7" applyFont="1" applyAlignment="1">
      <alignment horizontal="center"/>
    </xf>
    <xf numFmtId="166" fontId="51" fillId="0" borderId="0" xfId="0" applyNumberFormat="1" applyFont="1" applyAlignment="1">
      <alignment horizontal="center"/>
    </xf>
    <xf numFmtId="2" fontId="52" fillId="0" borderId="0" xfId="0" applyNumberFormat="1" applyFont="1" applyAlignment="1">
      <alignment horizontal="center"/>
    </xf>
    <xf numFmtId="0" fontId="48" fillId="0" borderId="0" xfId="0" applyFont="1"/>
    <xf numFmtId="164" fontId="13" fillId="0" borderId="0" xfId="0" applyNumberFormat="1" applyFont="1"/>
    <xf numFmtId="0" fontId="23" fillId="0" borderId="8" xfId="0" applyFont="1" applyBorder="1" applyAlignment="1">
      <alignment horizontal="center" vertical="center"/>
    </xf>
    <xf numFmtId="0" fontId="16" fillId="0" borderId="0" xfId="0" applyFont="1" applyAlignment="1">
      <alignment vertical="center" wrapText="1"/>
    </xf>
    <xf numFmtId="2" fontId="16" fillId="0" borderId="0" xfId="0" applyNumberFormat="1" applyFont="1" applyAlignment="1">
      <alignment horizontal="center" vertical="center"/>
    </xf>
    <xf numFmtId="166" fontId="16" fillId="0" borderId="0" xfId="0" applyNumberFormat="1" applyFont="1" applyAlignment="1">
      <alignment horizontal="center" vertical="center"/>
    </xf>
    <xf numFmtId="166" fontId="16" fillId="0" borderId="7" xfId="0" applyNumberFormat="1" applyFont="1" applyBorder="1" applyAlignment="1">
      <alignment horizontal="center" vertical="center"/>
    </xf>
    <xf numFmtId="166" fontId="16" fillId="0" borderId="8" xfId="0" applyNumberFormat="1" applyFont="1" applyBorder="1" applyAlignment="1">
      <alignment horizontal="center" vertical="center"/>
    </xf>
    <xf numFmtId="166" fontId="13" fillId="0" borderId="0" xfId="0" applyNumberFormat="1" applyFont="1" applyAlignment="1">
      <alignment vertical="center"/>
    </xf>
    <xf numFmtId="0" fontId="17" fillId="0" borderId="0" xfId="0" applyFont="1" applyAlignment="1">
      <alignment wrapText="1"/>
    </xf>
    <xf numFmtId="0" fontId="57" fillId="5" borderId="0" xfId="0" applyFont="1" applyFill="1" applyAlignment="1">
      <alignment vertical="center"/>
    </xf>
    <xf numFmtId="0" fontId="1" fillId="5" borderId="0" xfId="7" applyFill="1"/>
    <xf numFmtId="0" fontId="3" fillId="5" borderId="0" xfId="7" applyFont="1" applyFill="1"/>
    <xf numFmtId="0" fontId="9" fillId="5" borderId="0" xfId="0" applyFont="1" applyFill="1"/>
    <xf numFmtId="0" fontId="5" fillId="5" borderId="0" xfId="7" applyFont="1" applyFill="1" applyAlignment="1">
      <alignment horizontal="center" vertical="center" wrapText="1"/>
    </xf>
    <xf numFmtId="0" fontId="4" fillId="5" borderId="0" xfId="7" applyFont="1" applyFill="1"/>
    <xf numFmtId="0" fontId="12" fillId="5" borderId="0" xfId="7" applyFont="1" applyFill="1"/>
    <xf numFmtId="0" fontId="17" fillId="6" borderId="0" xfId="0" applyFont="1" applyFill="1" applyAlignment="1">
      <alignment wrapText="1"/>
    </xf>
    <xf numFmtId="0" fontId="16" fillId="0" borderId="0" xfId="0" applyFont="1" applyAlignment="1">
      <alignment horizontal="left" vertical="center" wrapText="1" shrinkToFit="1" readingOrder="1"/>
    </xf>
    <xf numFmtId="2" fontId="17" fillId="0" borderId="0" xfId="0" applyNumberFormat="1" applyFont="1" applyAlignment="1">
      <alignment horizontal="center" vertical="center"/>
    </xf>
    <xf numFmtId="2" fontId="16" fillId="0" borderId="0" xfId="2" applyNumberFormat="1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166" fontId="17" fillId="0" borderId="0" xfId="0" applyNumberFormat="1" applyFont="1" applyAlignment="1">
      <alignment horizontal="center" vertical="center"/>
    </xf>
    <xf numFmtId="166" fontId="17" fillId="0" borderId="7" xfId="0" applyNumberFormat="1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166" fontId="13" fillId="0" borderId="0" xfId="0" applyNumberFormat="1" applyFont="1" applyAlignment="1">
      <alignment horizontal="center" vertical="center"/>
    </xf>
    <xf numFmtId="4" fontId="16" fillId="0" borderId="0" xfId="0" applyNumberFormat="1" applyFont="1" applyAlignment="1">
      <alignment horizontal="center" vertical="center"/>
    </xf>
    <xf numFmtId="166" fontId="13" fillId="0" borderId="8" xfId="0" applyNumberFormat="1" applyFont="1" applyBorder="1" applyAlignment="1">
      <alignment horizontal="center" vertical="center"/>
    </xf>
    <xf numFmtId="166" fontId="28" fillId="0" borderId="0" xfId="0" applyNumberFormat="1" applyFont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166" fontId="8" fillId="0" borderId="8" xfId="0" applyNumberFormat="1" applyFont="1" applyBorder="1" applyAlignment="1">
      <alignment horizontal="center" vertical="center"/>
    </xf>
    <xf numFmtId="166" fontId="8" fillId="0" borderId="0" xfId="0" applyNumberFormat="1" applyFont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166" fontId="42" fillId="0" borderId="0" xfId="0" applyNumberFormat="1" applyFont="1" applyAlignment="1">
      <alignment horizontal="center" vertical="center"/>
    </xf>
    <xf numFmtId="166" fontId="26" fillId="0" borderId="0" xfId="0" applyNumberFormat="1" applyFont="1" applyAlignment="1">
      <alignment horizontal="center" vertical="center"/>
    </xf>
    <xf numFmtId="166" fontId="26" fillId="0" borderId="7" xfId="0" applyNumberFormat="1" applyFont="1" applyBorder="1" applyAlignment="1">
      <alignment horizontal="center" vertical="center"/>
    </xf>
    <xf numFmtId="166" fontId="16" fillId="0" borderId="0" xfId="0" applyNumberFormat="1" applyFont="1" applyAlignment="1">
      <alignment horizontal="left" vertical="top"/>
    </xf>
    <xf numFmtId="0" fontId="18" fillId="0" borderId="0" xfId="0" applyFont="1"/>
    <xf numFmtId="0" fontId="13" fillId="0" borderId="18" xfId="0" applyFont="1" applyBorder="1" applyAlignment="1">
      <alignment horizontal="center"/>
    </xf>
    <xf numFmtId="0" fontId="13" fillId="0" borderId="19" xfId="0" applyFont="1" applyBorder="1"/>
    <xf numFmtId="2" fontId="13" fillId="0" borderId="19" xfId="0" applyNumberFormat="1" applyFont="1" applyBorder="1" applyAlignment="1">
      <alignment horizontal="center"/>
    </xf>
    <xf numFmtId="0" fontId="13" fillId="0" borderId="19" xfId="0" applyFont="1" applyBorder="1" applyAlignment="1">
      <alignment horizontal="center"/>
    </xf>
    <xf numFmtId="166" fontId="13" fillId="0" borderId="19" xfId="0" applyNumberFormat="1" applyFont="1" applyBorder="1" applyAlignment="1">
      <alignment horizontal="center"/>
    </xf>
    <xf numFmtId="166" fontId="13" fillId="0" borderId="20" xfId="0" applyNumberFormat="1" applyFont="1" applyBorder="1" applyAlignment="1">
      <alignment horizontal="center"/>
    </xf>
    <xf numFmtId="166" fontId="14" fillId="0" borderId="19" xfId="0" applyNumberFormat="1" applyFont="1" applyBorder="1" applyAlignment="1">
      <alignment horizontal="center"/>
    </xf>
    <xf numFmtId="0" fontId="13" fillId="0" borderId="21" xfId="0" applyFont="1" applyBorder="1" applyAlignment="1">
      <alignment horizontal="center"/>
    </xf>
    <xf numFmtId="0" fontId="13" fillId="0" borderId="22" xfId="0" applyFont="1" applyBorder="1" applyAlignment="1">
      <alignment horizontal="center"/>
    </xf>
    <xf numFmtId="0" fontId="13" fillId="0" borderId="23" xfId="0" applyFont="1" applyBorder="1" applyAlignment="1">
      <alignment horizontal="center"/>
    </xf>
    <xf numFmtId="0" fontId="13" fillId="0" borderId="23" xfId="0" applyFont="1" applyBorder="1"/>
    <xf numFmtId="0" fontId="40" fillId="2" borderId="24" xfId="0" applyFont="1" applyFill="1" applyBorder="1" applyAlignment="1">
      <alignment horizontal="center" vertical="center"/>
    </xf>
    <xf numFmtId="0" fontId="16" fillId="0" borderId="22" xfId="0" applyFont="1" applyBorder="1" applyAlignment="1">
      <alignment horizontal="center"/>
    </xf>
    <xf numFmtId="0" fontId="34" fillId="0" borderId="23" xfId="7" applyFont="1" applyBorder="1" applyAlignment="1">
      <alignment horizontal="center" vertical="center"/>
    </xf>
    <xf numFmtId="166" fontId="16" fillId="0" borderId="23" xfId="0" applyNumberFormat="1" applyFont="1" applyBorder="1" applyAlignment="1">
      <alignment horizontal="center"/>
    </xf>
    <xf numFmtId="0" fontId="23" fillId="0" borderId="22" xfId="0" applyFont="1" applyBorder="1" applyAlignment="1">
      <alignment horizontal="center"/>
    </xf>
    <xf numFmtId="166" fontId="16" fillId="0" borderId="23" xfId="0" applyNumberFormat="1" applyFont="1" applyBorder="1" applyAlignment="1">
      <alignment horizontal="center" vertical="center"/>
    </xf>
    <xf numFmtId="166" fontId="17" fillId="0" borderId="26" xfId="0" applyNumberFormat="1" applyFont="1" applyBorder="1" applyAlignment="1">
      <alignment horizontal="center"/>
    </xf>
    <xf numFmtId="0" fontId="23" fillId="0" borderId="27" xfId="0" applyFont="1" applyBorder="1" applyAlignment="1">
      <alignment horizontal="center"/>
    </xf>
    <xf numFmtId="167" fontId="19" fillId="0" borderId="28" xfId="0" applyNumberFormat="1" applyFont="1" applyBorder="1" applyAlignment="1">
      <alignment wrapText="1"/>
    </xf>
    <xf numFmtId="2" fontId="16" fillId="0" borderId="28" xfId="0" applyNumberFormat="1" applyFont="1" applyBorder="1" applyAlignment="1">
      <alignment horizontal="center"/>
    </xf>
    <xf numFmtId="4" fontId="16" fillId="0" borderId="28" xfId="0" applyNumberFormat="1" applyFont="1" applyBorder="1" applyAlignment="1">
      <alignment horizontal="center"/>
    </xf>
    <xf numFmtId="166" fontId="16" fillId="0" borderId="28" xfId="0" applyNumberFormat="1" applyFont="1" applyBorder="1" applyAlignment="1">
      <alignment horizontal="center"/>
    </xf>
    <xf numFmtId="166" fontId="16" fillId="0" borderId="29" xfId="0" applyNumberFormat="1" applyFont="1" applyBorder="1" applyAlignment="1">
      <alignment horizontal="center"/>
    </xf>
    <xf numFmtId="166" fontId="16" fillId="0" borderId="30" xfId="0" applyNumberFormat="1" applyFont="1" applyBorder="1" applyAlignment="1">
      <alignment horizontal="center"/>
    </xf>
    <xf numFmtId="0" fontId="13" fillId="0" borderId="28" xfId="0" applyFont="1" applyBorder="1"/>
    <xf numFmtId="0" fontId="13" fillId="0" borderId="31" xfId="0" applyFont="1" applyBorder="1"/>
    <xf numFmtId="17" fontId="58" fillId="5" borderId="1" xfId="7" applyNumberFormat="1" applyFont="1" applyFill="1" applyBorder="1" applyAlignment="1">
      <alignment horizontal="center" vertical="center" wrapText="1"/>
    </xf>
    <xf numFmtId="0" fontId="58" fillId="5" borderId="2" xfId="7" applyFont="1" applyFill="1" applyBorder="1" applyAlignment="1">
      <alignment horizontal="center" vertical="center" wrapText="1"/>
    </xf>
    <xf numFmtId="0" fontId="58" fillId="5" borderId="3" xfId="7" applyFont="1" applyFill="1" applyBorder="1" applyAlignment="1">
      <alignment horizontal="center" vertical="center" wrapText="1"/>
    </xf>
    <xf numFmtId="0" fontId="58" fillId="5" borderId="4" xfId="7" applyFont="1" applyFill="1" applyBorder="1" applyAlignment="1">
      <alignment horizontal="center" vertical="center" wrapText="1"/>
    </xf>
    <xf numFmtId="0" fontId="58" fillId="5" borderId="5" xfId="7" applyFont="1" applyFill="1" applyBorder="1" applyAlignment="1">
      <alignment horizontal="center" vertical="center" wrapText="1"/>
    </xf>
    <xf numFmtId="0" fontId="58" fillId="5" borderId="6" xfId="7" applyFont="1" applyFill="1" applyBorder="1" applyAlignment="1">
      <alignment horizontal="center" vertical="center" wrapText="1"/>
    </xf>
    <xf numFmtId="0" fontId="58" fillId="5" borderId="1" xfId="7" applyFont="1" applyFill="1" applyBorder="1" applyAlignment="1">
      <alignment horizontal="center" vertical="center" wrapText="1"/>
    </xf>
    <xf numFmtId="0" fontId="58" fillId="5" borderId="8" xfId="7" applyFont="1" applyFill="1" applyBorder="1" applyAlignment="1">
      <alignment horizontal="center" vertical="center" wrapText="1"/>
    </xf>
    <xf numFmtId="0" fontId="58" fillId="5" borderId="0" xfId="7" applyFont="1" applyFill="1" applyAlignment="1">
      <alignment horizontal="center" vertical="center" wrapText="1"/>
    </xf>
    <xf numFmtId="0" fontId="58" fillId="5" borderId="7" xfId="7" applyFont="1" applyFill="1" applyBorder="1" applyAlignment="1">
      <alignment horizontal="center" vertical="center" wrapText="1"/>
    </xf>
    <xf numFmtId="0" fontId="34" fillId="2" borderId="9" xfId="7" applyFont="1" applyFill="1" applyBorder="1" applyAlignment="1">
      <alignment horizontal="center" vertical="center"/>
    </xf>
    <xf numFmtId="0" fontId="34" fillId="2" borderId="10" xfId="7" applyFont="1" applyFill="1" applyBorder="1" applyAlignment="1">
      <alignment horizontal="center" vertical="center"/>
    </xf>
    <xf numFmtId="0" fontId="34" fillId="2" borderId="11" xfId="7" applyFont="1" applyFill="1" applyBorder="1" applyAlignment="1">
      <alignment horizontal="center" vertical="center"/>
    </xf>
    <xf numFmtId="166" fontId="34" fillId="2" borderId="9" xfId="7" applyNumberFormat="1" applyFont="1" applyFill="1" applyBorder="1" applyAlignment="1">
      <alignment horizontal="center" vertical="center"/>
    </xf>
    <xf numFmtId="166" fontId="34" fillId="2" borderId="10" xfId="7" applyNumberFormat="1" applyFont="1" applyFill="1" applyBorder="1" applyAlignment="1">
      <alignment horizontal="center" vertical="center"/>
    </xf>
    <xf numFmtId="166" fontId="34" fillId="2" borderId="11" xfId="7" applyNumberFormat="1" applyFont="1" applyFill="1" applyBorder="1" applyAlignment="1">
      <alignment horizontal="center" vertical="center"/>
    </xf>
    <xf numFmtId="0" fontId="32" fillId="0" borderId="0" xfId="7" applyFont="1" applyAlignment="1">
      <alignment horizontal="center"/>
    </xf>
    <xf numFmtId="0" fontId="31" fillId="2" borderId="9" xfId="7" applyFont="1" applyFill="1" applyBorder="1" applyAlignment="1">
      <alignment horizontal="center" vertical="center"/>
    </xf>
    <xf numFmtId="0" fontId="31" fillId="2" borderId="10" xfId="7" applyFont="1" applyFill="1" applyBorder="1" applyAlignment="1">
      <alignment horizontal="center" vertical="center"/>
    </xf>
    <xf numFmtId="0" fontId="31" fillId="2" borderId="11" xfId="7" applyFont="1" applyFill="1" applyBorder="1" applyAlignment="1">
      <alignment horizontal="center" vertical="center"/>
    </xf>
    <xf numFmtId="0" fontId="31" fillId="2" borderId="25" xfId="7" applyFont="1" applyFill="1" applyBorder="1" applyAlignment="1">
      <alignment horizontal="center" vertical="center"/>
    </xf>
    <xf numFmtId="2" fontId="8" fillId="0" borderId="8" xfId="0" applyNumberFormat="1" applyFont="1" applyBorder="1" applyAlignment="1">
      <alignment horizontal="center"/>
    </xf>
    <xf numFmtId="2" fontId="8" fillId="0" borderId="0" xfId="0" applyNumberFormat="1" applyFont="1" applyAlignment="1">
      <alignment horizontal="center"/>
    </xf>
    <xf numFmtId="0" fontId="60" fillId="5" borderId="0" xfId="0" applyFont="1" applyFill="1" applyAlignment="1">
      <alignment vertical="center"/>
    </xf>
    <xf numFmtId="4" fontId="34" fillId="2" borderId="11" xfId="1" applyNumberFormat="1" applyFont="1" applyFill="1" applyBorder="1" applyAlignment="1">
      <alignment horizontal="center" vertical="center"/>
    </xf>
  </cellXfs>
  <cellStyles count="10">
    <cellStyle name="Comma 2" xfId="1" xr:uid="{00000000-0005-0000-0000-000000000000}"/>
    <cellStyle name="Currency" xfId="2" builtinId="4"/>
    <cellStyle name="Currency 2" xfId="3" xr:uid="{00000000-0005-0000-0000-000002000000}"/>
    <cellStyle name="Normal" xfId="0" builtinId="0"/>
    <cellStyle name="Normal 2" xfId="4" xr:uid="{00000000-0005-0000-0000-000005000000}"/>
    <cellStyle name="Normal 3" xfId="5" xr:uid="{00000000-0005-0000-0000-000006000000}"/>
    <cellStyle name="Normal 3 2" xfId="6" xr:uid="{00000000-0005-0000-0000-000007000000}"/>
    <cellStyle name="Normal 3 3" xfId="7" xr:uid="{00000000-0005-0000-0000-000008000000}"/>
    <cellStyle name="Normal 3 3 2" xfId="8" xr:uid="{00000000-0005-0000-0000-000009000000}"/>
    <cellStyle name="takeoffs body style" xfId="9" xr:uid="{E63211BF-430C-413E-A62E-785DD2E53D13}"/>
  </cellStyles>
  <dxfs count="73">
    <dxf>
      <fill>
        <patternFill>
          <bgColor theme="7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Relationship Id="rId27" Type="http://schemas.openxmlformats.org/officeDocument/2006/relationships/customXml" Target="../customXml/item4.xml"/></Relationships>
</file>

<file path=xl/ctrlProps/ctrlProp1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341129</xdr:colOff>
      <xdr:row>6</xdr:row>
      <xdr:rowOff>13903</xdr:rowOff>
    </xdr:from>
    <xdr:to>
      <xdr:col>14</xdr:col>
      <xdr:colOff>334251</xdr:colOff>
      <xdr:row>19</xdr:row>
      <xdr:rowOff>2528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l="-1" t="-1" r="-1226" b="12289"/>
        <a:stretch/>
      </xdr:blipFill>
      <xdr:spPr>
        <a:xfrm>
          <a:off x="4278129" y="1156903"/>
          <a:ext cx="5181072" cy="2465125"/>
        </a:xfrm>
        <a:prstGeom prst="rect">
          <a:avLst/>
        </a:prstGeom>
      </xdr:spPr>
    </xdr:pic>
    <xdr:clientData/>
  </xdr:twoCellAnchor>
  <xdr:twoCellAnchor editAs="oneCell">
    <xdr:from>
      <xdr:col>5</xdr:col>
      <xdr:colOff>428325</xdr:colOff>
      <xdr:row>20</xdr:row>
      <xdr:rowOff>13001</xdr:rowOff>
    </xdr:from>
    <xdr:to>
      <xdr:col>13</xdr:col>
      <xdr:colOff>92165</xdr:colOff>
      <xdr:row>22</xdr:row>
      <xdr:rowOff>20042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t="87916" r="16255" b="-1442"/>
        <a:stretch/>
      </xdr:blipFill>
      <xdr:spPr>
        <a:xfrm>
          <a:off x="4365325" y="3823001"/>
          <a:ext cx="4219965" cy="38804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406400</xdr:colOff>
          <xdr:row>1</xdr:row>
          <xdr:rowOff>38100</xdr:rowOff>
        </xdr:from>
        <xdr:to>
          <xdr:col>5</xdr:col>
          <xdr:colOff>952500</xdr:colOff>
          <xdr:row>3</xdr:row>
          <xdr:rowOff>76200</xdr:rowOff>
        </xdr:to>
        <xdr:sp macro="" textlink="">
          <xdr:nvSpPr>
            <xdr:cNvPr id="12289" name="SteelworkToggleButton" hidden="1">
              <a:extLst>
                <a:ext uri="{63B3BB69-23CF-44E3-9099-C40C66FF867C}">
                  <a14:compatExt spid="_x0000_s12289"/>
                </a:ext>
                <a:ext uri="{FF2B5EF4-FFF2-40B4-BE49-F238E27FC236}">
                  <a16:creationId xmlns:a16="http://schemas.microsoft.com/office/drawing/2014/main" id="{00000000-0008-0000-0600-000001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36576" tIns="36576" rIns="36576" bIns="36576" anchor="ctr" upright="1"/>
            <a:lstStyle/>
            <a:p>
              <a:pPr algn="ctr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Remove Steelwork</a:t>
              </a: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p/Desktop/UK%20Form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Qual, Excl &amp; Assum"/>
      <sheetName val="Documents"/>
      <sheetName val="Summary"/>
      <sheetName val="Demolition"/>
      <sheetName val="Substructure"/>
      <sheetName val="Superstructure"/>
      <sheetName val="Structural Steelwork"/>
      <sheetName val="Roof"/>
      <sheetName val="Windows, Doors &amp; Rooflights"/>
      <sheetName val="Partitions"/>
      <sheetName val="Joinery"/>
      <sheetName val="Decoration"/>
      <sheetName val="Floor finishes"/>
      <sheetName val="Wall finishes"/>
      <sheetName val="Kitchens &amp; Bathrooms"/>
      <sheetName val="Electrical"/>
      <sheetName val="Mechanical"/>
      <sheetName val="Externals"/>
      <sheetName val="Preliminaries"/>
      <sheetName val="Details"/>
    </sheetNames>
    <sheetDataSet>
      <sheetData sheetId="0"/>
      <sheetData sheetId="1">
        <row r="2">
          <cell r="B2" t="str">
            <v>PROJECT: BROOK HOUSE GALLEY LANE BARNET EN5 4RA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>
        <row r="4">
          <cell r="C4">
            <v>0.1</v>
          </cell>
        </row>
        <row r="6">
          <cell r="C6">
            <v>0.1</v>
          </cell>
        </row>
        <row r="8">
          <cell r="C8">
            <v>0.05</v>
          </cell>
        </row>
        <row r="36">
          <cell r="M36">
            <v>1.1363636363636365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7.bin"/><Relationship Id="rId4" Type="http://schemas.openxmlformats.org/officeDocument/2006/relationships/ctrlProp" Target="../ctrlProps/ctrlProp1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A76"/>
  <sheetViews>
    <sheetView tabSelected="1" view="pageBreakPreview" zoomScale="60" zoomScaleNormal="55" workbookViewId="0">
      <selection activeCell="A47" sqref="A47"/>
    </sheetView>
  </sheetViews>
  <sheetFormatPr defaultColWidth="9.08984375" defaultRowHeight="12.5" x14ac:dyDescent="0.25"/>
  <cols>
    <col min="1" max="3" width="9.08984375" style="4"/>
    <col min="4" max="6" width="10.08984375" style="4" customWidth="1"/>
    <col min="7" max="9" width="9.08984375" style="4"/>
    <col min="10" max="10" width="9.08984375" style="4" customWidth="1"/>
    <col min="11" max="11" width="7.453125" style="4" customWidth="1"/>
    <col min="12" max="12" width="2.6328125" style="4" customWidth="1"/>
    <col min="13" max="14" width="9.08984375" style="4"/>
    <col min="15" max="15" width="8.81640625" style="4" customWidth="1"/>
    <col min="16" max="16384" width="9.08984375" style="4"/>
  </cols>
  <sheetData>
    <row r="1" spans="1:20" ht="15" customHeight="1" x14ac:dyDescent="0.25">
      <c r="A1" s="295"/>
      <c r="B1" s="295"/>
      <c r="C1" s="295"/>
      <c r="D1" s="295"/>
      <c r="E1" s="295"/>
      <c r="F1" s="295"/>
      <c r="G1" s="295"/>
      <c r="H1" s="295"/>
      <c r="I1" s="295"/>
      <c r="J1" s="295"/>
      <c r="K1" s="295"/>
      <c r="L1" s="295"/>
      <c r="M1" s="295"/>
      <c r="N1" s="295"/>
      <c r="O1" s="295"/>
      <c r="P1" s="295"/>
      <c r="Q1" s="295"/>
      <c r="R1" s="295"/>
      <c r="S1" s="295"/>
      <c r="T1" s="295"/>
    </row>
    <row r="2" spans="1:20" ht="15" customHeight="1" x14ac:dyDescent="0.25">
      <c r="A2" s="295"/>
      <c r="B2" s="295"/>
      <c r="C2" s="295"/>
      <c r="D2" s="295"/>
      <c r="E2" s="295"/>
      <c r="F2" s="295"/>
      <c r="G2" s="295"/>
      <c r="H2" s="295"/>
      <c r="I2" s="295"/>
      <c r="J2" s="295"/>
      <c r="K2" s="295"/>
      <c r="L2" s="295"/>
      <c r="M2" s="295"/>
      <c r="N2" s="295"/>
      <c r="O2" s="295"/>
      <c r="P2" s="295"/>
      <c r="Q2" s="295"/>
      <c r="R2" s="295"/>
      <c r="S2" s="295"/>
      <c r="T2" s="295"/>
    </row>
    <row r="3" spans="1:20" ht="15" customHeight="1" x14ac:dyDescent="0.25">
      <c r="A3" s="295"/>
      <c r="B3" s="295"/>
      <c r="C3" s="295"/>
      <c r="D3" s="295"/>
      <c r="E3" s="295"/>
      <c r="F3" s="295"/>
      <c r="G3" s="295"/>
      <c r="H3" s="295"/>
      <c r="I3" s="295"/>
      <c r="J3" s="295"/>
      <c r="K3" s="295"/>
      <c r="L3" s="295"/>
      <c r="M3" s="295"/>
      <c r="N3" s="295"/>
      <c r="O3" s="295"/>
      <c r="P3" s="295"/>
      <c r="Q3" s="295"/>
      <c r="R3" s="295"/>
      <c r="S3" s="295"/>
      <c r="T3" s="295"/>
    </row>
    <row r="4" spans="1:20" ht="15" customHeight="1" x14ac:dyDescent="0.25">
      <c r="A4" s="295"/>
      <c r="B4" s="295"/>
      <c r="C4" s="295"/>
      <c r="D4" s="295"/>
      <c r="E4" s="295"/>
      <c r="F4" s="295"/>
      <c r="G4" s="295"/>
      <c r="H4" s="295"/>
      <c r="I4" s="295"/>
      <c r="J4" s="295"/>
      <c r="K4" s="295"/>
      <c r="L4" s="295"/>
      <c r="M4" s="295"/>
      <c r="N4" s="295"/>
      <c r="O4" s="295"/>
      <c r="P4" s="295"/>
      <c r="Q4" s="295"/>
      <c r="R4" s="295"/>
      <c r="S4" s="295"/>
      <c r="T4" s="295"/>
    </row>
    <row r="5" spans="1:20" ht="15" customHeight="1" x14ac:dyDescent="0.25">
      <c r="A5" s="295"/>
      <c r="B5" s="295"/>
      <c r="C5" s="295"/>
      <c r="D5" s="295"/>
      <c r="E5" s="295"/>
      <c r="F5" s="295"/>
      <c r="G5" s="295"/>
      <c r="H5" s="295"/>
      <c r="I5" s="295"/>
      <c r="J5" s="295"/>
      <c r="K5" s="295"/>
      <c r="L5" s="295"/>
      <c r="M5" s="295"/>
      <c r="N5" s="295"/>
      <c r="O5" s="295"/>
      <c r="P5" s="295"/>
      <c r="Q5" s="295"/>
      <c r="R5" s="295"/>
      <c r="S5" s="295"/>
      <c r="T5" s="295"/>
    </row>
    <row r="6" spans="1:20" ht="15" customHeight="1" x14ac:dyDescent="0.25">
      <c r="A6" s="295"/>
      <c r="B6" s="295"/>
      <c r="C6" s="295"/>
      <c r="D6" s="295"/>
      <c r="E6" s="295"/>
      <c r="F6" s="295"/>
      <c r="G6" s="295"/>
      <c r="H6" s="295"/>
      <c r="I6" s="295"/>
      <c r="J6" s="295"/>
      <c r="K6" s="295"/>
      <c r="L6" s="295"/>
      <c r="M6" s="295"/>
      <c r="N6" s="295"/>
      <c r="O6" s="295"/>
      <c r="P6" s="295"/>
      <c r="Q6" s="295"/>
      <c r="R6" s="295"/>
      <c r="S6" s="295"/>
      <c r="T6" s="295"/>
    </row>
    <row r="7" spans="1:20" ht="15" customHeight="1" x14ac:dyDescent="0.25">
      <c r="A7" s="295"/>
      <c r="B7" s="295"/>
      <c r="C7" s="295"/>
      <c r="D7" s="295"/>
      <c r="E7" s="295"/>
      <c r="F7" s="295"/>
      <c r="G7" s="295"/>
      <c r="H7" s="295"/>
      <c r="I7" s="295"/>
      <c r="J7" s="296"/>
      <c r="K7" s="295"/>
      <c r="L7" s="295"/>
      <c r="M7" s="295"/>
      <c r="N7" s="295"/>
      <c r="O7" s="295"/>
      <c r="P7" s="295"/>
      <c r="Q7" s="295"/>
      <c r="R7" s="295"/>
      <c r="S7" s="295"/>
      <c r="T7" s="295"/>
    </row>
    <row r="8" spans="1:20" ht="15" customHeight="1" x14ac:dyDescent="0.25">
      <c r="A8" s="295"/>
      <c r="B8" s="295"/>
      <c r="C8" s="295"/>
      <c r="D8" s="295"/>
      <c r="E8" s="295"/>
      <c r="F8" s="295"/>
      <c r="G8" s="295"/>
      <c r="H8" s="295"/>
      <c r="I8" s="295"/>
      <c r="J8" s="296"/>
      <c r="K8" s="295"/>
      <c r="L8" s="295"/>
      <c r="M8" s="295"/>
      <c r="N8" s="295"/>
      <c r="O8" s="295"/>
      <c r="P8" s="295"/>
      <c r="Q8" s="295"/>
      <c r="R8" s="295"/>
      <c r="S8" s="295"/>
      <c r="T8" s="295"/>
    </row>
    <row r="9" spans="1:20" ht="15" customHeight="1" x14ac:dyDescent="0.25">
      <c r="A9" s="295"/>
      <c r="B9" s="295"/>
      <c r="C9" s="295"/>
      <c r="D9" s="295"/>
      <c r="E9" s="295"/>
      <c r="F9" s="295"/>
      <c r="G9" s="295"/>
      <c r="H9" s="295"/>
      <c r="I9" s="295"/>
      <c r="J9" s="296"/>
      <c r="K9" s="295"/>
      <c r="L9" s="295"/>
      <c r="M9" s="295"/>
      <c r="N9" s="295"/>
      <c r="O9" s="295"/>
      <c r="P9" s="295"/>
      <c r="Q9" s="295"/>
      <c r="R9" s="295"/>
      <c r="S9" s="295"/>
      <c r="T9" s="295"/>
    </row>
    <row r="10" spans="1:20" ht="15" customHeight="1" x14ac:dyDescent="0.25">
      <c r="A10" s="295"/>
      <c r="B10" s="295"/>
      <c r="C10" s="295"/>
      <c r="D10" s="295"/>
      <c r="E10" s="295"/>
      <c r="F10" s="295"/>
      <c r="G10" s="295"/>
      <c r="H10" s="295"/>
      <c r="I10" s="295"/>
      <c r="J10" s="296"/>
      <c r="K10" s="295"/>
      <c r="L10" s="295"/>
      <c r="M10" s="295"/>
      <c r="N10" s="295"/>
      <c r="O10" s="295"/>
      <c r="P10" s="295"/>
      <c r="Q10" s="295"/>
      <c r="R10" s="295"/>
      <c r="S10" s="295"/>
      <c r="T10" s="295"/>
    </row>
    <row r="11" spans="1:20" ht="15" customHeight="1" x14ac:dyDescent="0.25">
      <c r="A11" s="295"/>
      <c r="B11" s="295"/>
      <c r="C11" s="295"/>
      <c r="D11" s="295"/>
      <c r="E11" s="295"/>
      <c r="F11" s="295"/>
      <c r="G11" s="295"/>
      <c r="H11" s="295"/>
      <c r="I11" s="295"/>
      <c r="J11" s="295"/>
      <c r="K11" s="295"/>
      <c r="L11" s="295"/>
      <c r="M11" s="295"/>
      <c r="N11" s="295"/>
      <c r="O11" s="295"/>
      <c r="P11" s="295"/>
      <c r="Q11" s="295"/>
      <c r="R11" s="295"/>
      <c r="S11" s="295"/>
      <c r="T11" s="295"/>
    </row>
    <row r="12" spans="1:20" ht="15" customHeight="1" x14ac:dyDescent="0.25">
      <c r="A12" s="295"/>
      <c r="B12" s="295"/>
      <c r="C12" s="295"/>
      <c r="D12" s="295"/>
      <c r="E12" s="295"/>
      <c r="F12" s="295"/>
      <c r="G12" s="295"/>
      <c r="H12" s="295"/>
      <c r="I12" s="295"/>
      <c r="J12" s="295"/>
      <c r="K12" s="295"/>
      <c r="L12" s="295"/>
      <c r="M12" s="295"/>
      <c r="N12" s="295"/>
      <c r="O12" s="295"/>
      <c r="P12" s="295"/>
      <c r="Q12" s="295"/>
      <c r="R12" s="295"/>
      <c r="S12" s="295"/>
      <c r="T12" s="295"/>
    </row>
    <row r="13" spans="1:20" ht="15" customHeight="1" x14ac:dyDescent="0.25">
      <c r="A13" s="295"/>
      <c r="B13" s="295"/>
      <c r="C13" s="295"/>
      <c r="D13" s="295"/>
      <c r="E13" s="295"/>
      <c r="F13" s="295"/>
      <c r="G13" s="295"/>
      <c r="H13" s="295"/>
      <c r="I13" s="295"/>
      <c r="J13" s="295"/>
      <c r="K13" s="295"/>
      <c r="L13" s="295"/>
      <c r="M13" s="295"/>
      <c r="N13" s="295"/>
      <c r="O13" s="295"/>
      <c r="P13" s="295"/>
      <c r="Q13" s="295"/>
      <c r="R13" s="295"/>
      <c r="S13" s="295"/>
      <c r="T13" s="295"/>
    </row>
    <row r="14" spans="1:20" ht="15" customHeight="1" x14ac:dyDescent="0.25">
      <c r="A14" s="295"/>
      <c r="B14" s="295"/>
      <c r="C14" s="295"/>
      <c r="D14" s="295"/>
      <c r="E14" s="295"/>
      <c r="F14" s="295"/>
      <c r="G14" s="295"/>
      <c r="H14" s="295"/>
      <c r="I14" s="295"/>
      <c r="J14" s="295"/>
      <c r="K14" s="295"/>
      <c r="L14" s="295"/>
      <c r="M14" s="295"/>
      <c r="N14" s="295"/>
      <c r="O14" s="295"/>
      <c r="P14" s="295"/>
      <c r="Q14" s="295"/>
      <c r="R14" s="295"/>
      <c r="S14" s="295"/>
      <c r="T14" s="295"/>
    </row>
    <row r="15" spans="1:20" ht="15" customHeight="1" x14ac:dyDescent="0.35">
      <c r="A15" s="295"/>
      <c r="B15" s="295"/>
      <c r="C15" s="295"/>
      <c r="D15" s="295"/>
      <c r="E15" s="297"/>
      <c r="F15" s="295"/>
      <c r="G15" s="295"/>
      <c r="H15" s="295"/>
      <c r="I15" s="295"/>
      <c r="J15" s="295"/>
      <c r="K15" s="295"/>
      <c r="L15" s="295"/>
      <c r="M15" s="295"/>
      <c r="N15" s="295"/>
      <c r="O15" s="295"/>
      <c r="P15" s="295"/>
      <c r="Q15" s="295"/>
      <c r="R15" s="295"/>
      <c r="S15" s="295"/>
      <c r="T15" s="295"/>
    </row>
    <row r="16" spans="1:20" ht="15" customHeight="1" x14ac:dyDescent="0.25">
      <c r="A16" s="295"/>
      <c r="B16" s="295"/>
      <c r="C16" s="295"/>
      <c r="D16" s="295"/>
      <c r="E16" s="295"/>
      <c r="F16" s="295"/>
      <c r="G16" s="295"/>
      <c r="H16" s="295"/>
      <c r="I16" s="295"/>
      <c r="J16" s="295"/>
      <c r="K16" s="295"/>
      <c r="L16" s="295"/>
      <c r="M16" s="295"/>
      <c r="N16" s="295"/>
      <c r="O16" s="295"/>
      <c r="P16" s="295"/>
      <c r="Q16" s="295"/>
      <c r="R16" s="295"/>
      <c r="S16" s="295"/>
      <c r="T16" s="295"/>
    </row>
    <row r="17" spans="1:27" ht="15" customHeight="1" x14ac:dyDescent="0.25">
      <c r="A17" s="295"/>
      <c r="B17" s="295"/>
      <c r="C17" s="295"/>
      <c r="D17" s="295"/>
      <c r="E17" s="295"/>
      <c r="F17" s="295"/>
      <c r="G17" s="295"/>
      <c r="H17" s="295"/>
      <c r="I17" s="295"/>
      <c r="J17" s="295"/>
      <c r="K17" s="295"/>
      <c r="L17" s="295"/>
      <c r="M17" s="295"/>
      <c r="N17" s="295"/>
      <c r="O17" s="295"/>
      <c r="P17" s="295"/>
      <c r="Q17" s="295"/>
      <c r="R17" s="295"/>
      <c r="S17" s="295"/>
      <c r="T17" s="295"/>
    </row>
    <row r="18" spans="1:27" ht="15" customHeight="1" x14ac:dyDescent="0.25">
      <c r="A18" s="295"/>
      <c r="B18" s="295"/>
      <c r="C18" s="295"/>
      <c r="D18" s="295"/>
      <c r="E18" s="295"/>
      <c r="F18" s="295"/>
      <c r="G18" s="295"/>
      <c r="H18" s="295"/>
      <c r="I18" s="295"/>
      <c r="J18" s="295"/>
      <c r="K18" s="295"/>
      <c r="L18" s="295"/>
      <c r="M18" s="295"/>
      <c r="N18" s="295"/>
      <c r="O18" s="295"/>
      <c r="P18" s="295"/>
      <c r="Q18" s="295"/>
      <c r="R18" s="295"/>
      <c r="S18" s="295"/>
      <c r="T18" s="295"/>
    </row>
    <row r="19" spans="1:27" ht="15" customHeight="1" x14ac:dyDescent="0.25">
      <c r="A19" s="295"/>
      <c r="B19" s="295"/>
      <c r="C19" s="295"/>
      <c r="D19" s="295"/>
      <c r="E19" s="295"/>
      <c r="F19" s="295"/>
      <c r="G19" s="295"/>
      <c r="H19" s="295"/>
      <c r="I19" s="295"/>
      <c r="J19" s="295"/>
      <c r="K19" s="295"/>
      <c r="L19" s="295"/>
      <c r="M19" s="295"/>
      <c r="N19" s="295"/>
      <c r="O19" s="295"/>
      <c r="P19" s="295"/>
      <c r="Q19" s="295"/>
      <c r="R19" s="295"/>
      <c r="S19" s="295"/>
      <c r="T19" s="295"/>
    </row>
    <row r="20" spans="1:27" ht="15" customHeight="1" x14ac:dyDescent="0.25">
      <c r="A20" s="295"/>
      <c r="B20" s="295"/>
      <c r="C20" s="295"/>
      <c r="D20" s="295"/>
      <c r="E20" s="295"/>
      <c r="F20" s="295"/>
      <c r="G20" s="295"/>
      <c r="H20" s="295"/>
      <c r="I20" s="295"/>
      <c r="J20" s="295"/>
      <c r="K20" s="295"/>
      <c r="L20" s="295"/>
      <c r="M20" s="295"/>
      <c r="N20" s="295"/>
      <c r="O20" s="295"/>
      <c r="P20" s="295"/>
      <c r="Q20" s="295"/>
      <c r="R20" s="295"/>
      <c r="S20" s="295"/>
      <c r="T20" s="295"/>
    </row>
    <row r="21" spans="1:27" ht="15" customHeight="1" x14ac:dyDescent="0.25">
      <c r="A21" s="295"/>
      <c r="B21" s="295"/>
      <c r="C21" s="295"/>
      <c r="D21" s="295"/>
      <c r="E21" s="295"/>
      <c r="F21" s="295"/>
      <c r="G21" s="295"/>
      <c r="H21" s="295"/>
      <c r="I21" s="295"/>
      <c r="J21" s="295"/>
      <c r="K21" s="295"/>
      <c r="L21" s="295"/>
      <c r="M21" s="295"/>
      <c r="N21" s="295"/>
      <c r="O21" s="295"/>
      <c r="P21" s="295"/>
      <c r="Q21" s="295"/>
      <c r="R21" s="295"/>
      <c r="S21" s="295"/>
      <c r="T21" s="295"/>
    </row>
    <row r="22" spans="1:27" ht="15" customHeight="1" x14ac:dyDescent="0.25">
      <c r="A22" s="295"/>
      <c r="B22" s="295"/>
      <c r="C22" s="295"/>
      <c r="D22" s="295"/>
      <c r="E22" s="295"/>
      <c r="F22" s="295"/>
      <c r="G22" s="295"/>
      <c r="H22" s="295"/>
      <c r="I22" s="295"/>
      <c r="J22" s="295"/>
      <c r="K22" s="295"/>
      <c r="L22" s="295"/>
      <c r="M22" s="295"/>
      <c r="N22" s="295"/>
      <c r="O22" s="295"/>
      <c r="P22" s="295"/>
      <c r="Q22" s="295"/>
      <c r="R22" s="295"/>
      <c r="S22" s="295"/>
      <c r="T22" s="295"/>
    </row>
    <row r="23" spans="1:27" ht="15" customHeight="1" x14ac:dyDescent="0.25">
      <c r="A23" s="295"/>
      <c r="B23" s="295"/>
      <c r="C23" s="295"/>
      <c r="D23" s="295"/>
      <c r="E23" s="295"/>
      <c r="F23" s="295"/>
      <c r="G23" s="295"/>
      <c r="H23" s="295"/>
      <c r="I23" s="295"/>
      <c r="J23" s="295"/>
      <c r="K23" s="295"/>
      <c r="L23" s="295"/>
      <c r="M23" s="295"/>
      <c r="N23" s="295"/>
      <c r="O23" s="295"/>
      <c r="P23" s="295"/>
      <c r="Q23" s="295"/>
      <c r="R23" s="295"/>
      <c r="S23" s="295"/>
      <c r="T23" s="295"/>
      <c r="AA23" s="295"/>
    </row>
    <row r="24" spans="1:27" ht="15" customHeight="1" thickBot="1" x14ac:dyDescent="0.3">
      <c r="A24" s="295"/>
      <c r="B24" s="295"/>
      <c r="C24" s="295"/>
      <c r="D24" s="295"/>
      <c r="E24" s="295"/>
      <c r="F24" s="295"/>
      <c r="G24" s="295"/>
      <c r="H24" s="295"/>
      <c r="I24" s="295"/>
      <c r="J24" s="295"/>
      <c r="K24" s="295"/>
      <c r="L24" s="295"/>
      <c r="M24" s="295"/>
      <c r="N24" s="295"/>
      <c r="O24" s="295"/>
      <c r="P24" s="295"/>
      <c r="Q24" s="295"/>
      <c r="R24" s="295"/>
      <c r="S24" s="295"/>
      <c r="T24" s="295"/>
    </row>
    <row r="25" spans="1:27" ht="15" customHeight="1" x14ac:dyDescent="0.25">
      <c r="A25" s="295"/>
      <c r="B25" s="295"/>
      <c r="C25" s="295"/>
      <c r="D25" s="295"/>
      <c r="E25" s="295"/>
      <c r="F25" s="355" t="s">
        <v>179</v>
      </c>
      <c r="G25" s="350"/>
      <c r="H25" s="350"/>
      <c r="I25" s="350"/>
      <c r="J25" s="350"/>
      <c r="K25" s="350"/>
      <c r="L25" s="350"/>
      <c r="M25" s="350"/>
      <c r="N25" s="350"/>
      <c r="O25" s="351"/>
      <c r="P25" s="295"/>
      <c r="Q25" s="295"/>
      <c r="R25" s="295"/>
      <c r="S25" s="295"/>
      <c r="T25" s="295"/>
    </row>
    <row r="26" spans="1:27" ht="15" customHeight="1" thickBot="1" x14ac:dyDescent="0.3">
      <c r="A26" s="298"/>
      <c r="B26" s="298"/>
      <c r="C26" s="298"/>
      <c r="D26" s="298"/>
      <c r="E26" s="298"/>
      <c r="F26" s="352"/>
      <c r="G26" s="353"/>
      <c r="H26" s="353"/>
      <c r="I26" s="353"/>
      <c r="J26" s="353"/>
      <c r="K26" s="353"/>
      <c r="L26" s="353"/>
      <c r="M26" s="353"/>
      <c r="N26" s="353"/>
      <c r="O26" s="354"/>
      <c r="P26" s="295"/>
      <c r="Q26" s="295"/>
      <c r="R26" s="295"/>
      <c r="S26" s="295"/>
      <c r="T26" s="295"/>
    </row>
    <row r="27" spans="1:27" ht="15" customHeight="1" x14ac:dyDescent="0.25">
      <c r="A27" s="298"/>
      <c r="B27" s="298"/>
      <c r="C27" s="298"/>
      <c r="D27" s="298"/>
      <c r="E27" s="298"/>
      <c r="F27" s="298"/>
      <c r="G27" s="298"/>
      <c r="H27" s="295"/>
      <c r="I27" s="295"/>
      <c r="J27" s="295"/>
      <c r="K27" s="295"/>
      <c r="L27" s="295"/>
      <c r="M27" s="295"/>
      <c r="N27" s="295"/>
      <c r="O27" s="295"/>
      <c r="P27" s="295"/>
      <c r="Q27" s="295"/>
      <c r="R27" s="295"/>
      <c r="S27" s="295"/>
      <c r="T27" s="295"/>
    </row>
    <row r="28" spans="1:27" ht="15" customHeight="1" x14ac:dyDescent="0.25">
      <c r="A28" s="295"/>
      <c r="B28" s="298"/>
      <c r="C28" s="298"/>
      <c r="D28" s="298"/>
      <c r="E28" s="298"/>
      <c r="F28" s="298"/>
      <c r="G28" s="298"/>
      <c r="H28" s="298"/>
      <c r="I28" s="298"/>
      <c r="J28" s="298"/>
      <c r="K28" s="295"/>
      <c r="L28" s="295"/>
      <c r="M28" s="295"/>
      <c r="N28" s="295"/>
      <c r="O28" s="295"/>
      <c r="P28" s="295"/>
      <c r="Q28" s="295"/>
      <c r="R28" s="295"/>
      <c r="S28" s="295"/>
      <c r="T28" s="295"/>
    </row>
    <row r="29" spans="1:27" ht="15" customHeight="1" x14ac:dyDescent="0.3">
      <c r="A29" s="295"/>
      <c r="B29" s="299"/>
      <c r="C29" s="299"/>
      <c r="D29" s="299"/>
      <c r="E29" s="299"/>
      <c r="F29" s="299"/>
      <c r="G29" s="295"/>
      <c r="H29" s="295"/>
      <c r="I29" s="295"/>
      <c r="J29" s="295"/>
      <c r="K29" s="295"/>
      <c r="L29" s="295"/>
      <c r="M29" s="295"/>
      <c r="N29" s="295"/>
      <c r="O29" s="295"/>
      <c r="P29" s="295"/>
      <c r="Q29" s="295"/>
      <c r="R29" s="295"/>
      <c r="S29" s="295"/>
      <c r="T29" s="295"/>
    </row>
    <row r="30" spans="1:27" ht="15" customHeight="1" x14ac:dyDescent="0.3">
      <c r="A30" s="295"/>
      <c r="B30" s="299"/>
      <c r="C30" s="299"/>
      <c r="D30" s="299"/>
      <c r="E30" s="299"/>
      <c r="F30" s="299"/>
      <c r="G30" s="295"/>
      <c r="H30" s="295"/>
      <c r="I30" s="295"/>
      <c r="J30" s="295"/>
      <c r="K30" s="295"/>
      <c r="L30" s="295"/>
      <c r="M30" s="295"/>
      <c r="N30" s="295"/>
      <c r="O30" s="295"/>
      <c r="P30" s="295"/>
      <c r="Q30" s="295"/>
      <c r="R30" s="295"/>
      <c r="S30" s="295"/>
      <c r="T30" s="295"/>
    </row>
    <row r="31" spans="1:27" ht="15" customHeight="1" thickBot="1" x14ac:dyDescent="0.3">
      <c r="A31" s="295"/>
      <c r="B31" s="295"/>
      <c r="C31" s="295"/>
      <c r="D31" s="295"/>
      <c r="E31" s="295"/>
      <c r="F31" s="295"/>
      <c r="G31" s="295"/>
      <c r="H31" s="295"/>
      <c r="I31" s="295"/>
      <c r="J31" s="295"/>
      <c r="K31" s="295"/>
      <c r="L31" s="295"/>
      <c r="M31" s="295"/>
      <c r="N31" s="295"/>
      <c r="O31" s="295"/>
      <c r="P31" s="295"/>
      <c r="Q31" s="295"/>
      <c r="R31" s="295"/>
      <c r="S31" s="295"/>
      <c r="T31" s="295"/>
    </row>
    <row r="32" spans="1:27" ht="15" customHeight="1" x14ac:dyDescent="0.25">
      <c r="A32" s="295"/>
      <c r="B32" s="295"/>
      <c r="C32" s="295"/>
      <c r="D32" s="295"/>
      <c r="E32" s="295"/>
      <c r="F32" s="355" t="s">
        <v>4</v>
      </c>
      <c r="G32" s="350"/>
      <c r="H32" s="350"/>
      <c r="I32" s="350"/>
      <c r="J32" s="350"/>
      <c r="K32" s="350"/>
      <c r="L32" s="350"/>
      <c r="M32" s="350"/>
      <c r="N32" s="350"/>
      <c r="O32" s="351"/>
      <c r="P32" s="295"/>
      <c r="Q32" s="295"/>
      <c r="R32" s="295"/>
      <c r="S32" s="295"/>
      <c r="T32" s="295"/>
    </row>
    <row r="33" spans="1:20" ht="15" customHeight="1" thickBot="1" x14ac:dyDescent="0.3">
      <c r="A33" s="295"/>
      <c r="B33" s="295"/>
      <c r="C33" s="295"/>
      <c r="D33" s="295"/>
      <c r="E33" s="295"/>
      <c r="F33" s="352"/>
      <c r="G33" s="353"/>
      <c r="H33" s="353"/>
      <c r="I33" s="353"/>
      <c r="J33" s="353"/>
      <c r="K33" s="353"/>
      <c r="L33" s="353"/>
      <c r="M33" s="353"/>
      <c r="N33" s="353"/>
      <c r="O33" s="354"/>
      <c r="P33" s="295"/>
      <c r="Q33" s="295"/>
      <c r="R33" s="295"/>
      <c r="S33" s="295"/>
      <c r="T33" s="295"/>
    </row>
    <row r="34" spans="1:20" ht="15" customHeight="1" x14ac:dyDescent="0.25">
      <c r="A34" s="298"/>
      <c r="B34" s="298"/>
      <c r="C34" s="298"/>
      <c r="D34" s="298"/>
      <c r="E34" s="298"/>
      <c r="F34" s="298"/>
      <c r="G34" s="298"/>
      <c r="H34" s="298"/>
      <c r="I34" s="298"/>
      <c r="J34" s="298"/>
      <c r="K34" s="295"/>
      <c r="L34" s="295"/>
      <c r="M34" s="295"/>
      <c r="N34" s="295"/>
      <c r="O34" s="295"/>
      <c r="P34" s="295"/>
      <c r="Q34" s="295"/>
      <c r="R34" s="295"/>
      <c r="S34" s="295"/>
      <c r="T34" s="295"/>
    </row>
    <row r="35" spans="1:20" ht="15" customHeight="1" x14ac:dyDescent="0.25">
      <c r="A35" s="298"/>
      <c r="B35" s="298"/>
      <c r="C35" s="298"/>
      <c r="D35" s="298"/>
      <c r="E35" s="298"/>
      <c r="F35" s="298"/>
      <c r="G35" s="298"/>
      <c r="H35" s="298"/>
      <c r="I35" s="298"/>
      <c r="J35" s="298"/>
      <c r="K35" s="295"/>
      <c r="L35" s="295"/>
      <c r="M35" s="295"/>
      <c r="N35" s="295"/>
      <c r="O35" s="295"/>
      <c r="P35" s="295"/>
      <c r="Q35" s="295"/>
      <c r="R35" s="295"/>
      <c r="S35" s="295"/>
      <c r="T35" s="295"/>
    </row>
    <row r="36" spans="1:20" ht="15" customHeight="1" x14ac:dyDescent="0.3">
      <c r="A36" s="299"/>
      <c r="B36" s="299"/>
      <c r="C36" s="299"/>
      <c r="D36" s="299"/>
      <c r="E36" s="299"/>
      <c r="F36" s="299"/>
      <c r="G36" s="299"/>
      <c r="H36" s="299"/>
      <c r="I36" s="299"/>
      <c r="J36" s="299"/>
      <c r="K36" s="295"/>
      <c r="L36" s="295"/>
      <c r="M36" s="295"/>
      <c r="N36" s="295"/>
      <c r="O36" s="295"/>
      <c r="P36" s="295"/>
      <c r="Q36" s="295"/>
      <c r="R36" s="295"/>
      <c r="S36" s="295"/>
      <c r="T36" s="295"/>
    </row>
    <row r="37" spans="1:20" ht="15" customHeight="1" thickBot="1" x14ac:dyDescent="0.35">
      <c r="A37" s="299"/>
      <c r="B37" s="299"/>
      <c r="C37" s="299"/>
      <c r="D37" s="299"/>
      <c r="E37" s="299"/>
      <c r="F37" s="299"/>
      <c r="G37" s="299"/>
      <c r="H37" s="299"/>
      <c r="I37" s="299"/>
      <c r="J37" s="299"/>
      <c r="K37" s="295"/>
      <c r="L37" s="295"/>
      <c r="M37" s="295"/>
      <c r="N37" s="295"/>
      <c r="O37" s="295"/>
      <c r="P37" s="295"/>
      <c r="Q37" s="295"/>
      <c r="R37" s="295"/>
      <c r="S37" s="295"/>
      <c r="T37" s="295"/>
    </row>
    <row r="38" spans="1:20" ht="15" customHeight="1" x14ac:dyDescent="0.25">
      <c r="A38" s="295"/>
      <c r="B38" s="295"/>
      <c r="C38" s="295"/>
      <c r="D38" s="295"/>
      <c r="E38" s="295"/>
      <c r="F38" s="355" t="s">
        <v>180</v>
      </c>
      <c r="G38" s="350"/>
      <c r="H38" s="350"/>
      <c r="I38" s="350"/>
      <c r="J38" s="350"/>
      <c r="K38" s="350"/>
      <c r="L38" s="350"/>
      <c r="M38" s="350"/>
      <c r="N38" s="350"/>
      <c r="O38" s="351"/>
      <c r="P38" s="295"/>
      <c r="Q38" s="295"/>
      <c r="R38" s="295"/>
      <c r="S38" s="295"/>
      <c r="T38" s="295"/>
    </row>
    <row r="39" spans="1:20" ht="15" customHeight="1" x14ac:dyDescent="0.25">
      <c r="A39" s="295"/>
      <c r="B39" s="295"/>
      <c r="C39" s="295"/>
      <c r="D39" s="295"/>
      <c r="E39" s="295"/>
      <c r="F39" s="356"/>
      <c r="G39" s="357"/>
      <c r="H39" s="357"/>
      <c r="I39" s="357"/>
      <c r="J39" s="357"/>
      <c r="K39" s="357"/>
      <c r="L39" s="357"/>
      <c r="M39" s="357"/>
      <c r="N39" s="357"/>
      <c r="O39" s="358"/>
      <c r="P39" s="295"/>
      <c r="Q39" s="295"/>
      <c r="R39" s="295"/>
      <c r="S39" s="295"/>
      <c r="T39" s="295"/>
    </row>
    <row r="40" spans="1:20" ht="15" customHeight="1" x14ac:dyDescent="0.25">
      <c r="A40" s="295"/>
      <c r="B40" s="295"/>
      <c r="C40" s="295"/>
      <c r="D40" s="295"/>
      <c r="E40" s="295"/>
      <c r="F40" s="356"/>
      <c r="G40" s="357"/>
      <c r="H40" s="357"/>
      <c r="I40" s="357"/>
      <c r="J40" s="357"/>
      <c r="K40" s="357"/>
      <c r="L40" s="357"/>
      <c r="M40" s="357"/>
      <c r="N40" s="357"/>
      <c r="O40" s="358"/>
      <c r="P40" s="295"/>
      <c r="Q40" s="295"/>
      <c r="R40" s="295"/>
      <c r="S40" s="295"/>
      <c r="T40" s="295"/>
    </row>
    <row r="41" spans="1:20" ht="15" customHeight="1" thickBot="1" x14ac:dyDescent="0.3">
      <c r="A41" s="295"/>
      <c r="B41" s="295"/>
      <c r="C41" s="295"/>
      <c r="D41" s="295"/>
      <c r="E41" s="295"/>
      <c r="F41" s="352"/>
      <c r="G41" s="353"/>
      <c r="H41" s="353"/>
      <c r="I41" s="353"/>
      <c r="J41" s="353"/>
      <c r="K41" s="353"/>
      <c r="L41" s="353"/>
      <c r="M41" s="353"/>
      <c r="N41" s="353"/>
      <c r="O41" s="354"/>
      <c r="P41" s="295"/>
      <c r="Q41" s="295"/>
      <c r="R41" s="295"/>
      <c r="S41" s="295"/>
      <c r="T41" s="295"/>
    </row>
    <row r="42" spans="1:20" ht="15" customHeight="1" x14ac:dyDescent="0.25">
      <c r="A42" s="295"/>
      <c r="B42" s="295"/>
      <c r="C42" s="295"/>
      <c r="D42" s="295"/>
      <c r="E42" s="295"/>
      <c r="F42" s="295"/>
      <c r="G42" s="295"/>
      <c r="H42" s="295"/>
      <c r="I42" s="295"/>
      <c r="J42" s="295"/>
      <c r="K42" s="295"/>
      <c r="L42" s="295"/>
      <c r="M42" s="295"/>
      <c r="N42" s="295"/>
      <c r="O42" s="295"/>
      <c r="P42" s="295"/>
      <c r="Q42" s="295"/>
      <c r="R42" s="295"/>
      <c r="S42" s="295"/>
      <c r="T42" s="295"/>
    </row>
    <row r="43" spans="1:20" ht="15" customHeight="1" x14ac:dyDescent="0.25">
      <c r="A43" s="295"/>
      <c r="B43" s="295"/>
      <c r="C43" s="295"/>
      <c r="D43" s="295"/>
      <c r="E43" s="295"/>
      <c r="F43" s="295"/>
      <c r="G43" s="295"/>
      <c r="H43" s="295"/>
      <c r="I43" s="295"/>
      <c r="J43" s="295"/>
      <c r="K43" s="295"/>
      <c r="L43" s="295"/>
      <c r="M43" s="295"/>
      <c r="N43" s="295"/>
      <c r="O43" s="295"/>
      <c r="P43" s="295"/>
      <c r="Q43" s="295"/>
      <c r="R43" s="295"/>
      <c r="S43" s="295"/>
      <c r="T43" s="295"/>
    </row>
    <row r="44" spans="1:20" ht="15" customHeight="1" x14ac:dyDescent="0.25">
      <c r="A44" s="295"/>
      <c r="B44" s="295"/>
      <c r="C44" s="295"/>
      <c r="D44" s="295"/>
      <c r="E44" s="295"/>
      <c r="F44" s="295"/>
      <c r="G44" s="295"/>
      <c r="H44" s="295"/>
      <c r="I44" s="295"/>
      <c r="J44" s="295"/>
      <c r="K44" s="295"/>
      <c r="L44" s="295"/>
      <c r="M44" s="295"/>
      <c r="N44" s="295"/>
      <c r="O44" s="295"/>
      <c r="P44" s="295"/>
      <c r="Q44" s="295"/>
      <c r="R44" s="295"/>
      <c r="S44" s="295"/>
      <c r="T44" s="295"/>
    </row>
    <row r="45" spans="1:20" ht="15" customHeight="1" x14ac:dyDescent="0.25">
      <c r="A45" s="295"/>
      <c r="B45" s="295"/>
      <c r="C45" s="295"/>
      <c r="D45" s="295"/>
      <c r="E45" s="295"/>
      <c r="F45" s="295"/>
      <c r="G45" s="295"/>
      <c r="H45" s="295"/>
      <c r="I45" s="295"/>
      <c r="J45" s="295"/>
      <c r="K45" s="295"/>
      <c r="L45" s="295"/>
      <c r="M45" s="295"/>
      <c r="N45" s="295"/>
      <c r="O45" s="295"/>
      <c r="P45" s="295"/>
      <c r="Q45" s="295"/>
      <c r="R45" s="295"/>
      <c r="S45" s="295"/>
      <c r="T45" s="295"/>
    </row>
    <row r="46" spans="1:20" ht="15" customHeight="1" thickBot="1" x14ac:dyDescent="0.3">
      <c r="A46" s="295"/>
      <c r="B46" s="295"/>
      <c r="C46" s="295"/>
      <c r="D46" s="295"/>
      <c r="E46" s="295"/>
      <c r="F46" s="295"/>
      <c r="G46" s="295"/>
      <c r="H46" s="295"/>
      <c r="I46" s="295"/>
      <c r="J46" s="295"/>
      <c r="K46" s="295"/>
      <c r="L46" s="295"/>
      <c r="M46" s="295"/>
      <c r="N46" s="295"/>
      <c r="O46" s="295"/>
      <c r="P46" s="295"/>
      <c r="Q46" s="295"/>
      <c r="R46" s="295"/>
      <c r="S46" s="295"/>
      <c r="T46" s="295"/>
    </row>
    <row r="47" spans="1:20" ht="15" customHeight="1" x14ac:dyDescent="0.25">
      <c r="A47" s="295"/>
      <c r="B47" s="295"/>
      <c r="C47" s="295"/>
      <c r="D47" s="295"/>
      <c r="E47" s="295"/>
      <c r="F47" s="355" t="s">
        <v>183</v>
      </c>
      <c r="G47" s="350"/>
      <c r="H47" s="350"/>
      <c r="I47" s="350"/>
      <c r="J47" s="350"/>
      <c r="K47" s="350"/>
      <c r="L47" s="350"/>
      <c r="M47" s="350"/>
      <c r="N47" s="350"/>
      <c r="O47" s="351"/>
      <c r="P47" s="295"/>
      <c r="Q47" s="295"/>
      <c r="R47" s="295"/>
      <c r="S47" s="295"/>
      <c r="T47" s="295"/>
    </row>
    <row r="48" spans="1:20" ht="15" customHeight="1" x14ac:dyDescent="0.25">
      <c r="A48" s="295"/>
      <c r="B48" s="295"/>
      <c r="C48" s="295"/>
      <c r="D48" s="295"/>
      <c r="E48" s="295"/>
      <c r="F48" s="356"/>
      <c r="G48" s="357"/>
      <c r="H48" s="357"/>
      <c r="I48" s="357"/>
      <c r="J48" s="357"/>
      <c r="K48" s="357"/>
      <c r="L48" s="357"/>
      <c r="M48" s="357"/>
      <c r="N48" s="357"/>
      <c r="O48" s="358"/>
      <c r="P48" s="295"/>
      <c r="Q48" s="295"/>
      <c r="R48" s="295"/>
      <c r="S48" s="295"/>
      <c r="T48" s="295"/>
    </row>
    <row r="49" spans="1:20" ht="15" customHeight="1" x14ac:dyDescent="0.25">
      <c r="A49" s="295"/>
      <c r="B49" s="295"/>
      <c r="C49" s="295"/>
      <c r="D49" s="295"/>
      <c r="E49" s="295"/>
      <c r="F49" s="356"/>
      <c r="G49" s="357"/>
      <c r="H49" s="357"/>
      <c r="I49" s="357"/>
      <c r="J49" s="357"/>
      <c r="K49" s="357"/>
      <c r="L49" s="357"/>
      <c r="M49" s="357"/>
      <c r="N49" s="357"/>
      <c r="O49" s="358"/>
      <c r="P49" s="295"/>
      <c r="Q49" s="295"/>
      <c r="R49" s="295"/>
      <c r="S49" s="295"/>
      <c r="T49" s="295"/>
    </row>
    <row r="50" spans="1:20" ht="15" customHeight="1" thickBot="1" x14ac:dyDescent="0.3">
      <c r="A50" s="295"/>
      <c r="B50" s="295"/>
      <c r="C50" s="295"/>
      <c r="D50" s="295"/>
      <c r="E50" s="295"/>
      <c r="F50" s="352"/>
      <c r="G50" s="353"/>
      <c r="H50" s="353"/>
      <c r="I50" s="353"/>
      <c r="J50" s="353"/>
      <c r="K50" s="353"/>
      <c r="L50" s="353"/>
      <c r="M50" s="353"/>
      <c r="N50" s="353"/>
      <c r="O50" s="354"/>
      <c r="P50" s="295"/>
      <c r="Q50" s="295"/>
      <c r="R50" s="295"/>
      <c r="S50" s="295"/>
      <c r="T50" s="295"/>
    </row>
    <row r="51" spans="1:20" ht="15" customHeight="1" x14ac:dyDescent="0.25">
      <c r="A51" s="295"/>
      <c r="B51" s="295"/>
      <c r="C51" s="295"/>
      <c r="D51" s="295"/>
      <c r="E51" s="295"/>
      <c r="F51" s="295"/>
      <c r="G51" s="295"/>
      <c r="H51" s="295"/>
      <c r="I51" s="295"/>
      <c r="J51" s="295"/>
      <c r="K51" s="295"/>
      <c r="L51" s="295"/>
      <c r="M51" s="295"/>
      <c r="N51" s="295"/>
      <c r="O51" s="295"/>
      <c r="P51" s="295"/>
      <c r="Q51" s="295"/>
      <c r="R51" s="295"/>
      <c r="S51" s="295"/>
      <c r="T51" s="295"/>
    </row>
    <row r="52" spans="1:20" ht="15" customHeight="1" x14ac:dyDescent="0.25">
      <c r="A52" s="295"/>
      <c r="B52" s="295"/>
      <c r="C52" s="295"/>
      <c r="D52" s="295"/>
      <c r="E52" s="295"/>
      <c r="F52" s="295"/>
      <c r="G52" s="295"/>
      <c r="H52" s="295"/>
      <c r="I52" s="295"/>
      <c r="J52" s="295"/>
      <c r="K52" s="295"/>
      <c r="L52" s="295"/>
      <c r="M52" s="295"/>
      <c r="N52" s="295"/>
      <c r="O52" s="295"/>
      <c r="P52" s="295"/>
      <c r="Q52" s="295"/>
      <c r="R52" s="295"/>
      <c r="S52" s="295"/>
      <c r="T52" s="295"/>
    </row>
    <row r="53" spans="1:20" ht="15" customHeight="1" x14ac:dyDescent="0.25">
      <c r="A53" s="295"/>
      <c r="B53" s="295"/>
      <c r="C53" s="295"/>
      <c r="D53" s="295"/>
      <c r="E53" s="295"/>
      <c r="F53" s="295"/>
      <c r="G53" s="295"/>
      <c r="H53" s="295"/>
      <c r="I53" s="295"/>
      <c r="J53" s="295"/>
      <c r="K53" s="295"/>
      <c r="L53" s="295"/>
      <c r="M53" s="295"/>
      <c r="N53" s="295"/>
      <c r="O53" s="295"/>
      <c r="P53" s="295"/>
      <c r="Q53" s="295"/>
      <c r="R53" s="295"/>
      <c r="S53" s="295"/>
      <c r="T53" s="295"/>
    </row>
    <row r="54" spans="1:20" ht="15" customHeight="1" x14ac:dyDescent="0.25">
      <c r="A54" s="295"/>
      <c r="B54" s="295"/>
      <c r="C54" s="295"/>
      <c r="D54" s="295"/>
      <c r="E54" s="295"/>
      <c r="F54" s="295"/>
      <c r="G54" s="295"/>
      <c r="H54" s="295"/>
      <c r="I54" s="295"/>
      <c r="J54" s="295"/>
      <c r="K54" s="295"/>
      <c r="L54" s="295"/>
      <c r="M54" s="295"/>
      <c r="N54" s="295"/>
      <c r="O54" s="295"/>
      <c r="P54" s="295"/>
      <c r="Q54" s="295"/>
      <c r="R54" s="295"/>
      <c r="S54" s="295"/>
      <c r="T54" s="295"/>
    </row>
    <row r="55" spans="1:20" ht="15" customHeight="1" x14ac:dyDescent="0.3">
      <c r="A55" s="299"/>
      <c r="B55" s="299"/>
      <c r="C55" s="299"/>
      <c r="D55" s="299"/>
      <c r="E55" s="299"/>
      <c r="F55" s="299"/>
      <c r="G55" s="299"/>
      <c r="H55" s="299"/>
      <c r="I55" s="299"/>
      <c r="J55" s="299"/>
      <c r="K55" s="295"/>
      <c r="L55" s="295"/>
      <c r="M55" s="295"/>
      <c r="N55" s="295"/>
      <c r="O55" s="295"/>
      <c r="P55" s="295"/>
      <c r="Q55" s="295"/>
      <c r="R55" s="295"/>
      <c r="S55" s="295"/>
      <c r="T55" s="295"/>
    </row>
    <row r="56" spans="1:20" ht="15" customHeight="1" thickBot="1" x14ac:dyDescent="0.3">
      <c r="A56" s="295"/>
      <c r="B56" s="295"/>
      <c r="C56" s="295"/>
      <c r="D56" s="295"/>
      <c r="E56" s="295"/>
      <c r="F56" s="295"/>
      <c r="G56" s="295"/>
      <c r="H56" s="295"/>
      <c r="I56" s="295"/>
      <c r="J56" s="295"/>
      <c r="K56" s="295"/>
      <c r="L56" s="295"/>
      <c r="M56" s="295"/>
      <c r="N56" s="295"/>
      <c r="O56" s="295"/>
      <c r="P56" s="295"/>
      <c r="Q56" s="295"/>
      <c r="R56" s="295"/>
      <c r="S56" s="295"/>
      <c r="T56" s="295"/>
    </row>
    <row r="57" spans="1:20" ht="15" customHeight="1" x14ac:dyDescent="0.25">
      <c r="A57" s="295"/>
      <c r="B57" s="295"/>
      <c r="C57" s="295"/>
      <c r="D57" s="295"/>
      <c r="E57" s="295"/>
      <c r="F57" s="349" t="s">
        <v>184</v>
      </c>
      <c r="G57" s="350"/>
      <c r="H57" s="350"/>
      <c r="I57" s="350"/>
      <c r="J57" s="350"/>
      <c r="K57" s="350"/>
      <c r="L57" s="350"/>
      <c r="M57" s="350"/>
      <c r="N57" s="350"/>
      <c r="O57" s="351"/>
      <c r="P57" s="295"/>
      <c r="Q57" s="295"/>
      <c r="R57" s="295"/>
      <c r="S57" s="295"/>
      <c r="T57" s="295"/>
    </row>
    <row r="58" spans="1:20" ht="15" customHeight="1" thickBot="1" x14ac:dyDescent="0.3">
      <c r="A58" s="295"/>
      <c r="B58" s="295"/>
      <c r="C58" s="295"/>
      <c r="D58" s="295"/>
      <c r="E58" s="295"/>
      <c r="F58" s="352"/>
      <c r="G58" s="353"/>
      <c r="H58" s="353"/>
      <c r="I58" s="353"/>
      <c r="J58" s="353"/>
      <c r="K58" s="353"/>
      <c r="L58" s="353"/>
      <c r="M58" s="353"/>
      <c r="N58" s="353"/>
      <c r="O58" s="354"/>
      <c r="P58" s="295"/>
      <c r="Q58" s="295"/>
      <c r="R58" s="295"/>
      <c r="S58" s="295"/>
      <c r="T58" s="295"/>
    </row>
    <row r="59" spans="1:20" ht="15" customHeight="1" x14ac:dyDescent="0.25">
      <c r="A59" s="295"/>
      <c r="B59" s="295"/>
      <c r="C59" s="295"/>
      <c r="D59" s="295"/>
      <c r="E59" s="295"/>
      <c r="F59" s="295"/>
      <c r="G59" s="295"/>
      <c r="H59" s="295"/>
      <c r="I59" s="295"/>
      <c r="J59" s="295"/>
      <c r="K59" s="295"/>
      <c r="L59" s="295"/>
      <c r="M59" s="295"/>
      <c r="N59" s="295"/>
      <c r="O59" s="295"/>
      <c r="P59" s="295"/>
      <c r="Q59" s="295"/>
      <c r="R59" s="295"/>
      <c r="S59" s="295"/>
      <c r="T59" s="295"/>
    </row>
    <row r="60" spans="1:20" ht="15" customHeight="1" x14ac:dyDescent="0.25">
      <c r="A60" s="295"/>
      <c r="B60" s="295"/>
      <c r="C60" s="295"/>
      <c r="D60" s="295"/>
      <c r="E60" s="295"/>
      <c r="F60" s="295"/>
      <c r="G60" s="295"/>
      <c r="H60" s="295"/>
      <c r="I60" s="295"/>
      <c r="J60" s="295"/>
      <c r="K60" s="295"/>
      <c r="L60" s="295"/>
      <c r="M60" s="295"/>
      <c r="N60" s="295"/>
      <c r="O60" s="295"/>
      <c r="P60" s="295"/>
      <c r="Q60" s="295"/>
      <c r="R60" s="295"/>
      <c r="S60" s="295"/>
      <c r="T60" s="295"/>
    </row>
    <row r="61" spans="1:20" ht="15" customHeight="1" x14ac:dyDescent="0.25">
      <c r="A61" s="295"/>
      <c r="B61" s="295"/>
      <c r="C61" s="295"/>
      <c r="D61" s="295"/>
      <c r="E61" s="295"/>
      <c r="F61" s="295"/>
      <c r="G61" s="295"/>
      <c r="H61" s="295"/>
      <c r="I61" s="295"/>
      <c r="J61" s="295"/>
      <c r="K61" s="295"/>
      <c r="L61" s="295"/>
      <c r="M61" s="295"/>
      <c r="N61" s="295"/>
      <c r="O61" s="295"/>
      <c r="P61" s="295"/>
      <c r="Q61" s="295"/>
      <c r="R61" s="295"/>
      <c r="S61" s="295"/>
      <c r="T61" s="295"/>
    </row>
    <row r="62" spans="1:20" ht="15" customHeight="1" x14ac:dyDescent="0.25">
      <c r="A62" s="295"/>
      <c r="B62" s="295"/>
      <c r="C62" s="295"/>
      <c r="D62" s="295"/>
      <c r="E62" s="295"/>
      <c r="F62" s="295"/>
      <c r="G62" s="295"/>
      <c r="H62" s="295"/>
      <c r="I62" s="295"/>
      <c r="J62" s="295"/>
      <c r="K62" s="295"/>
      <c r="L62" s="295"/>
      <c r="M62" s="295"/>
      <c r="N62" s="295"/>
      <c r="O62" s="295"/>
      <c r="P62" s="295"/>
      <c r="Q62" s="295"/>
      <c r="R62" s="295"/>
      <c r="S62" s="295"/>
      <c r="T62" s="295"/>
    </row>
    <row r="63" spans="1:20" ht="15" customHeight="1" x14ac:dyDescent="0.25">
      <c r="A63" s="295"/>
      <c r="B63" s="295"/>
      <c r="C63" s="295"/>
      <c r="D63" s="295"/>
      <c r="E63" s="295"/>
      <c r="F63" s="295"/>
      <c r="G63" s="295"/>
      <c r="H63" s="295"/>
      <c r="I63" s="295"/>
      <c r="J63" s="295"/>
      <c r="K63" s="295"/>
      <c r="L63" s="295"/>
      <c r="M63" s="295"/>
      <c r="N63" s="295"/>
      <c r="O63" s="295"/>
      <c r="P63" s="295"/>
      <c r="Q63" s="295"/>
      <c r="R63" s="295"/>
      <c r="S63" s="295"/>
      <c r="T63" s="295"/>
    </row>
    <row r="64" spans="1:20" ht="15" customHeight="1" x14ac:dyDescent="0.25">
      <c r="A64" s="295"/>
      <c r="B64" s="295"/>
      <c r="C64" s="295"/>
      <c r="D64" s="295"/>
      <c r="E64" s="295"/>
      <c r="F64" s="295"/>
      <c r="G64" s="295"/>
      <c r="H64" s="295"/>
      <c r="I64" s="295"/>
      <c r="J64" s="295"/>
      <c r="K64" s="295"/>
      <c r="L64" s="295"/>
      <c r="M64" s="295"/>
      <c r="N64" s="295"/>
      <c r="O64" s="295"/>
      <c r="P64" s="295"/>
      <c r="Q64" s="295"/>
      <c r="R64" s="295"/>
      <c r="S64" s="295"/>
      <c r="T64" s="295"/>
    </row>
    <row r="65" spans="1:20" ht="15" customHeight="1" x14ac:dyDescent="0.25">
      <c r="A65" s="295"/>
      <c r="B65" s="295"/>
      <c r="C65" s="295"/>
      <c r="D65" s="295"/>
      <c r="E65" s="295"/>
      <c r="F65" s="295"/>
      <c r="G65" s="295"/>
      <c r="H65" s="295"/>
      <c r="I65" s="295"/>
      <c r="J65" s="295"/>
      <c r="K65" s="295"/>
      <c r="L65" s="295"/>
      <c r="M65" s="295"/>
      <c r="N65" s="295"/>
      <c r="O65" s="295"/>
      <c r="P65" s="295"/>
      <c r="Q65" s="295"/>
      <c r="R65" s="295"/>
      <c r="S65" s="295"/>
      <c r="T65" s="295"/>
    </row>
    <row r="66" spans="1:20" x14ac:dyDescent="0.25">
      <c r="A66" s="300"/>
      <c r="B66" s="300"/>
      <c r="C66" s="300"/>
      <c r="D66" s="300"/>
      <c r="E66" s="300"/>
      <c r="F66" s="300"/>
      <c r="G66" s="300"/>
      <c r="H66" s="300"/>
      <c r="I66" s="300"/>
      <c r="J66" s="300"/>
      <c r="K66" s="295"/>
      <c r="L66" s="295"/>
      <c r="M66" s="295"/>
      <c r="N66" s="295"/>
      <c r="O66" s="295"/>
      <c r="P66" s="295"/>
      <c r="Q66" s="295"/>
      <c r="R66" s="295"/>
      <c r="S66" s="295"/>
      <c r="T66" s="295"/>
    </row>
    <row r="76" spans="1:20" x14ac:dyDescent="0.25">
      <c r="A76" s="44"/>
    </row>
  </sheetData>
  <mergeCells count="5">
    <mergeCell ref="F57:O58"/>
    <mergeCell ref="F25:O26"/>
    <mergeCell ref="F32:O33"/>
    <mergeCell ref="F47:O50"/>
    <mergeCell ref="F38:O41"/>
  </mergeCells>
  <phoneticPr fontId="59" type="noConversion"/>
  <printOptions horizontalCentered="1"/>
  <pageMargins left="0.70866141732283461" right="0.70866141732283461" top="0.31496062992125984" bottom="0.62992125984251968" header="0.31496062992125984" footer="0.31496062992125984"/>
  <pageSetup paperSize="9" scale="49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B72"/>
  <sheetViews>
    <sheetView zoomScale="95" zoomScaleNormal="95" workbookViewId="0">
      <selection activeCell="B4" sqref="B4"/>
    </sheetView>
  </sheetViews>
  <sheetFormatPr defaultColWidth="9.08984375" defaultRowHeight="15.5" x14ac:dyDescent="0.35"/>
  <cols>
    <col min="1" max="1" width="9.08984375" style="74" customWidth="1"/>
    <col min="2" max="2" width="126.453125" style="28" customWidth="1"/>
    <col min="3" max="16384" width="9.08984375" style="1"/>
  </cols>
  <sheetData>
    <row r="1" spans="1:2" ht="15" customHeight="1" x14ac:dyDescent="0.35"/>
    <row r="2" spans="1:2" ht="15" customHeight="1" x14ac:dyDescent="0.35">
      <c r="B2" s="3" t="str">
        <f>Cover!F47</f>
        <v>PROJECT: ALTERATIONS TO 41 GREENSIDE STREET ROSEMARKIE, IV10 8AG</v>
      </c>
    </row>
    <row r="3" spans="1:2" ht="15" customHeight="1" x14ac:dyDescent="0.35">
      <c r="B3" s="40" t="str">
        <f>Cover!F57</f>
        <v>DATE: 20TH NOVEMBER 2025</v>
      </c>
    </row>
    <row r="4" spans="1:2" ht="15" customHeight="1" x14ac:dyDescent="0.35">
      <c r="B4" s="3"/>
    </row>
    <row r="5" spans="1:2" ht="15" customHeight="1" thickBot="1" x14ac:dyDescent="0.4">
      <c r="B5" s="215"/>
    </row>
    <row r="6" spans="1:2" ht="21.25" customHeight="1" thickBot="1" x14ac:dyDescent="0.3">
      <c r="A6" s="85"/>
      <c r="B6" s="86" t="s">
        <v>5</v>
      </c>
    </row>
    <row r="7" spans="1:2" ht="15" customHeight="1" x14ac:dyDescent="0.35">
      <c r="A7" s="87"/>
      <c r="B7" s="27"/>
    </row>
    <row r="8" spans="1:2" s="29" customFormat="1" ht="15" customHeight="1" x14ac:dyDescent="0.35">
      <c r="A8" s="87">
        <v>1</v>
      </c>
      <c r="B8" s="28" t="s">
        <v>6</v>
      </c>
    </row>
    <row r="9" spans="1:2" s="29" customFormat="1" ht="15" customHeight="1" x14ac:dyDescent="0.35">
      <c r="A9" s="87"/>
      <c r="B9" s="28"/>
    </row>
    <row r="10" spans="1:2" s="29" customFormat="1" ht="15" customHeight="1" x14ac:dyDescent="0.35">
      <c r="A10" s="72">
        <v>1.1000000000000001</v>
      </c>
      <c r="B10" s="8" t="s">
        <v>49</v>
      </c>
    </row>
    <row r="11" spans="1:2" s="29" customFormat="1" ht="15" customHeight="1" x14ac:dyDescent="0.35">
      <c r="A11" s="72">
        <f>+A10+0.1</f>
        <v>1.2000000000000002</v>
      </c>
      <c r="B11" s="8" t="s">
        <v>23</v>
      </c>
    </row>
    <row r="12" spans="1:2" s="29" customFormat="1" ht="15" customHeight="1" x14ac:dyDescent="0.35">
      <c r="A12" s="72">
        <f t="shared" ref="A12:A18" si="0">+A11+0.1</f>
        <v>1.3000000000000003</v>
      </c>
      <c r="B12" s="73" t="s">
        <v>75</v>
      </c>
    </row>
    <row r="13" spans="1:2" s="29" customFormat="1" ht="15" customHeight="1" x14ac:dyDescent="0.35">
      <c r="A13" s="74">
        <f t="shared" si="0"/>
        <v>1.4000000000000004</v>
      </c>
      <c r="B13" s="45" t="s">
        <v>125</v>
      </c>
    </row>
    <row r="14" spans="1:2" s="29" customFormat="1" ht="15" customHeight="1" x14ac:dyDescent="0.35">
      <c r="A14" s="72">
        <f t="shared" si="0"/>
        <v>1.5000000000000004</v>
      </c>
      <c r="B14" s="8" t="s">
        <v>24</v>
      </c>
    </row>
    <row r="15" spans="1:2" s="29" customFormat="1" ht="15" customHeight="1" x14ac:dyDescent="0.35">
      <c r="A15" s="74">
        <f t="shared" si="0"/>
        <v>1.6000000000000005</v>
      </c>
      <c r="B15" s="45" t="s">
        <v>76</v>
      </c>
    </row>
    <row r="16" spans="1:2" s="29" customFormat="1" ht="15" customHeight="1" x14ac:dyDescent="0.35">
      <c r="A16" s="72">
        <f t="shared" si="0"/>
        <v>1.7000000000000006</v>
      </c>
      <c r="B16" s="28" t="s">
        <v>116</v>
      </c>
    </row>
    <row r="17" spans="1:2" s="29" customFormat="1" ht="15" customHeight="1" x14ac:dyDescent="0.35">
      <c r="A17" s="72">
        <f t="shared" si="0"/>
        <v>1.8000000000000007</v>
      </c>
      <c r="B17" s="31" t="s">
        <v>77</v>
      </c>
    </row>
    <row r="18" spans="1:2" s="29" customFormat="1" ht="15" customHeight="1" x14ac:dyDescent="0.35">
      <c r="A18" s="72">
        <f t="shared" si="0"/>
        <v>1.9000000000000008</v>
      </c>
      <c r="B18" s="27" t="s">
        <v>117</v>
      </c>
    </row>
    <row r="19" spans="1:2" s="29" customFormat="1" ht="15" customHeight="1" x14ac:dyDescent="0.35">
      <c r="A19" s="75">
        <v>1.1000000000000001</v>
      </c>
      <c r="B19" s="33" t="s">
        <v>48</v>
      </c>
    </row>
    <row r="20" spans="1:2" s="29" customFormat="1" ht="15" customHeight="1" x14ac:dyDescent="0.35">
      <c r="A20" s="75">
        <v>1.1100000000000001</v>
      </c>
      <c r="B20" s="28" t="s">
        <v>78</v>
      </c>
    </row>
    <row r="21" spans="1:2" s="29" customFormat="1" ht="15" customHeight="1" x14ac:dyDescent="0.35">
      <c r="A21" s="75">
        <v>1.1200000000000001</v>
      </c>
      <c r="B21" s="27" t="s">
        <v>50</v>
      </c>
    </row>
    <row r="22" spans="1:2" s="29" customFormat="1" ht="15" customHeight="1" x14ac:dyDescent="0.35">
      <c r="A22" s="88"/>
      <c r="B22" s="27"/>
    </row>
    <row r="23" spans="1:2" s="29" customFormat="1" ht="15" customHeight="1" x14ac:dyDescent="0.35">
      <c r="A23" s="87">
        <v>2</v>
      </c>
      <c r="B23" s="27" t="s">
        <v>115</v>
      </c>
    </row>
    <row r="24" spans="1:2" s="29" customFormat="1" ht="15" customHeight="1" x14ac:dyDescent="0.35">
      <c r="A24" s="87"/>
      <c r="B24" s="27"/>
    </row>
    <row r="25" spans="1:2" s="29" customFormat="1" ht="15" customHeight="1" x14ac:dyDescent="0.35">
      <c r="A25" s="72">
        <v>2.1</v>
      </c>
      <c r="B25" s="27" t="s">
        <v>83</v>
      </c>
    </row>
    <row r="26" spans="1:2" s="29" customFormat="1" ht="15" customHeight="1" x14ac:dyDescent="0.35">
      <c r="A26" s="87">
        <v>2.2000000000000002</v>
      </c>
      <c r="B26" s="27" t="s">
        <v>84</v>
      </c>
    </row>
    <row r="27" spans="1:2" s="29" customFormat="1" ht="15" customHeight="1" x14ac:dyDescent="0.35">
      <c r="A27" s="87">
        <v>2.2999999999999998</v>
      </c>
      <c r="B27" s="31" t="s">
        <v>85</v>
      </c>
    </row>
    <row r="28" spans="1:2" s="29" customFormat="1" ht="15" customHeight="1" x14ac:dyDescent="0.35">
      <c r="A28" s="87">
        <v>2.4</v>
      </c>
      <c r="B28" s="89" t="s">
        <v>86</v>
      </c>
    </row>
    <row r="29" spans="1:2" s="29" customFormat="1" ht="15" customHeight="1" x14ac:dyDescent="0.35">
      <c r="A29" s="87">
        <v>2.5</v>
      </c>
      <c r="B29" s="32" t="s">
        <v>87</v>
      </c>
    </row>
    <row r="30" spans="1:2" s="29" customFormat="1" ht="15" customHeight="1" x14ac:dyDescent="0.35">
      <c r="A30" s="87">
        <v>2.6</v>
      </c>
      <c r="B30" s="32" t="s">
        <v>121</v>
      </c>
    </row>
    <row r="31" spans="1:2" s="29" customFormat="1" ht="15" customHeight="1" x14ac:dyDescent="0.35">
      <c r="A31" s="87">
        <v>2.7</v>
      </c>
      <c r="B31" s="32" t="s">
        <v>118</v>
      </c>
    </row>
    <row r="32" spans="1:2" s="29" customFormat="1" ht="15" customHeight="1" x14ac:dyDescent="0.35">
      <c r="A32" s="87">
        <v>2.8</v>
      </c>
      <c r="B32" s="32" t="s">
        <v>119</v>
      </c>
    </row>
    <row r="33" spans="1:2" s="29" customFormat="1" ht="15" customHeight="1" x14ac:dyDescent="0.35">
      <c r="A33" s="87">
        <v>2.9</v>
      </c>
      <c r="B33" s="32" t="s">
        <v>120</v>
      </c>
    </row>
    <row r="34" spans="1:2" s="29" customFormat="1" ht="15" customHeight="1" x14ac:dyDescent="0.35">
      <c r="A34" s="88"/>
      <c r="B34" s="28"/>
    </row>
    <row r="35" spans="1:2" s="29" customFormat="1" ht="15" customHeight="1" x14ac:dyDescent="0.35">
      <c r="A35" s="87">
        <v>3</v>
      </c>
      <c r="B35" s="31" t="s">
        <v>7</v>
      </c>
    </row>
    <row r="36" spans="1:2" s="29" customFormat="1" ht="15" customHeight="1" x14ac:dyDescent="0.35">
      <c r="A36" s="87"/>
      <c r="B36" s="28"/>
    </row>
    <row r="37" spans="1:2" s="29" customFormat="1" ht="15" customHeight="1" x14ac:dyDescent="0.35">
      <c r="A37" s="87">
        <v>3.1</v>
      </c>
      <c r="B37" s="28" t="s">
        <v>88</v>
      </c>
    </row>
    <row r="38" spans="1:2" s="29" customFormat="1" ht="15" customHeight="1" x14ac:dyDescent="0.35">
      <c r="A38" s="87">
        <v>3.2</v>
      </c>
      <c r="B38" s="28" t="s">
        <v>89</v>
      </c>
    </row>
    <row r="39" spans="1:2" s="29" customFormat="1" ht="15" customHeight="1" x14ac:dyDescent="0.35">
      <c r="A39" s="87">
        <v>3.3</v>
      </c>
      <c r="B39" s="28" t="s">
        <v>56</v>
      </c>
    </row>
    <row r="40" spans="1:2" s="29" customFormat="1" ht="15" customHeight="1" x14ac:dyDescent="0.35">
      <c r="A40" s="87">
        <v>3.4</v>
      </c>
      <c r="B40" s="28" t="s">
        <v>51</v>
      </c>
    </row>
    <row r="41" spans="1:2" s="29" customFormat="1" ht="15" customHeight="1" x14ac:dyDescent="0.35">
      <c r="A41" s="87">
        <v>3.5</v>
      </c>
      <c r="B41" s="28" t="s">
        <v>52</v>
      </c>
    </row>
    <row r="42" spans="1:2" s="29" customFormat="1" ht="15" customHeight="1" x14ac:dyDescent="0.35">
      <c r="A42" s="87">
        <v>3.6</v>
      </c>
      <c r="B42" s="28" t="s">
        <v>53</v>
      </c>
    </row>
    <row r="43" spans="1:2" s="29" customFormat="1" ht="15" customHeight="1" x14ac:dyDescent="0.35">
      <c r="A43" s="87">
        <v>3.7</v>
      </c>
      <c r="B43" s="28" t="s">
        <v>54</v>
      </c>
    </row>
    <row r="44" spans="1:2" s="29" customFormat="1" ht="15" customHeight="1" x14ac:dyDescent="0.35">
      <c r="A44" s="87">
        <v>3.8</v>
      </c>
      <c r="B44" s="33" t="s">
        <v>55</v>
      </c>
    </row>
    <row r="45" spans="1:2" s="29" customFormat="1" ht="15" customHeight="1" x14ac:dyDescent="0.35">
      <c r="A45" s="87">
        <v>3.9</v>
      </c>
      <c r="B45" s="33" t="s">
        <v>122</v>
      </c>
    </row>
    <row r="46" spans="1:2" s="29" customFormat="1" ht="15" customHeight="1" x14ac:dyDescent="0.35">
      <c r="A46" s="88">
        <v>3.1</v>
      </c>
      <c r="B46" s="33" t="s">
        <v>58</v>
      </c>
    </row>
    <row r="47" spans="1:2" s="29" customFormat="1" ht="15" customHeight="1" x14ac:dyDescent="0.35">
      <c r="A47" s="87">
        <v>3.11</v>
      </c>
      <c r="B47" s="33" t="s">
        <v>59</v>
      </c>
    </row>
    <row r="48" spans="1:2" s="29" customFormat="1" ht="15" customHeight="1" x14ac:dyDescent="0.35">
      <c r="A48" s="87">
        <v>3.12</v>
      </c>
      <c r="B48" s="33" t="s">
        <v>90</v>
      </c>
    </row>
    <row r="49" spans="1:2" s="29" customFormat="1" ht="15" customHeight="1" x14ac:dyDescent="0.35">
      <c r="A49" s="87">
        <v>3.13</v>
      </c>
      <c r="B49" s="33" t="s">
        <v>160</v>
      </c>
    </row>
    <row r="50" spans="1:2" s="29" customFormat="1" ht="15" customHeight="1" x14ac:dyDescent="0.35">
      <c r="A50" s="87">
        <v>3.14</v>
      </c>
      <c r="B50" s="33" t="s">
        <v>164</v>
      </c>
    </row>
    <row r="51" spans="1:2" s="29" customFormat="1" ht="15" customHeight="1" x14ac:dyDescent="0.35">
      <c r="A51" s="87">
        <v>3.15</v>
      </c>
      <c r="B51" s="33" t="s">
        <v>165</v>
      </c>
    </row>
    <row r="52" spans="1:2" s="29" customFormat="1" ht="15" customHeight="1" x14ac:dyDescent="0.35">
      <c r="A52" s="87">
        <v>3.16</v>
      </c>
      <c r="B52" s="33" t="s">
        <v>185</v>
      </c>
    </row>
    <row r="53" spans="1:2" s="29" customFormat="1" ht="15" customHeight="1" x14ac:dyDescent="0.35">
      <c r="A53" s="87">
        <v>3.17</v>
      </c>
      <c r="B53" s="33" t="s">
        <v>186</v>
      </c>
    </row>
    <row r="54" spans="1:2" s="29" customFormat="1" ht="15" customHeight="1" x14ac:dyDescent="0.35">
      <c r="A54" s="87"/>
      <c r="B54" s="33"/>
    </row>
    <row r="55" spans="1:2" s="29" customFormat="1" ht="15" customHeight="1" x14ac:dyDescent="0.35">
      <c r="A55" s="87">
        <v>4</v>
      </c>
      <c r="B55" s="31" t="s">
        <v>91</v>
      </c>
    </row>
    <row r="56" spans="1:2" s="29" customFormat="1" ht="15" customHeight="1" x14ac:dyDescent="0.35">
      <c r="A56" s="87"/>
      <c r="B56" s="33"/>
    </row>
    <row r="57" spans="1:2" s="29" customFormat="1" ht="15" customHeight="1" x14ac:dyDescent="0.35">
      <c r="A57" s="87">
        <v>4.0999999999999996</v>
      </c>
      <c r="B57" s="27" t="s">
        <v>92</v>
      </c>
    </row>
    <row r="58" spans="1:2" s="29" customFormat="1" ht="15" customHeight="1" x14ac:dyDescent="0.35">
      <c r="A58" s="87">
        <v>4.2</v>
      </c>
      <c r="B58" s="31" t="s">
        <v>93</v>
      </c>
    </row>
    <row r="59" spans="1:2" s="29" customFormat="1" ht="15" customHeight="1" x14ac:dyDescent="0.35">
      <c r="A59" s="87">
        <v>4.3</v>
      </c>
      <c r="B59" s="31" t="s">
        <v>94</v>
      </c>
    </row>
    <row r="60" spans="1:2" s="29" customFormat="1" ht="15" customHeight="1" x14ac:dyDescent="0.35">
      <c r="A60" s="87">
        <v>4.4000000000000004</v>
      </c>
      <c r="B60" s="31" t="s">
        <v>95</v>
      </c>
    </row>
    <row r="61" spans="1:2" s="29" customFormat="1" ht="15" customHeight="1" x14ac:dyDescent="0.35">
      <c r="A61" s="87">
        <v>4.5</v>
      </c>
      <c r="B61" s="31" t="s">
        <v>124</v>
      </c>
    </row>
    <row r="62" spans="1:2" s="29" customFormat="1" ht="15" customHeight="1" x14ac:dyDescent="0.35">
      <c r="A62" s="87">
        <v>4.5999999999999996</v>
      </c>
      <c r="B62" s="28" t="s">
        <v>96</v>
      </c>
    </row>
    <row r="63" spans="1:2" s="29" customFormat="1" ht="15" customHeight="1" x14ac:dyDescent="0.35">
      <c r="A63" s="87">
        <v>4.7</v>
      </c>
      <c r="B63" s="33" t="s">
        <v>123</v>
      </c>
    </row>
    <row r="64" spans="1:2" s="29" customFormat="1" ht="15" customHeight="1" x14ac:dyDescent="0.35">
      <c r="A64" s="87">
        <v>4.8</v>
      </c>
      <c r="B64" s="33" t="s">
        <v>97</v>
      </c>
    </row>
    <row r="65" spans="1:2" s="29" customFormat="1" ht="15" customHeight="1" x14ac:dyDescent="0.35">
      <c r="A65" s="74">
        <v>4.9000000000000004</v>
      </c>
      <c r="B65" s="33" t="s">
        <v>98</v>
      </c>
    </row>
    <row r="66" spans="1:2" s="29" customFormat="1" ht="15" customHeight="1" x14ac:dyDescent="0.35">
      <c r="A66" s="77">
        <v>4.0999999999999996</v>
      </c>
      <c r="B66" s="33" t="s">
        <v>112</v>
      </c>
    </row>
    <row r="67" spans="1:2" s="29" customFormat="1" ht="15" customHeight="1" x14ac:dyDescent="0.35">
      <c r="A67" s="77">
        <v>4.1100000000000003</v>
      </c>
      <c r="B67" s="28" t="s">
        <v>113</v>
      </c>
    </row>
    <row r="68" spans="1:2" x14ac:dyDescent="0.35">
      <c r="A68" s="74">
        <v>4.12</v>
      </c>
      <c r="B68" s="28" t="s">
        <v>159</v>
      </c>
    </row>
    <row r="69" spans="1:2" x14ac:dyDescent="0.35">
      <c r="A69" s="74">
        <v>4.13</v>
      </c>
      <c r="B69" s="28" t="s">
        <v>161</v>
      </c>
    </row>
    <row r="70" spans="1:2" x14ac:dyDescent="0.35">
      <c r="A70" s="74">
        <v>4.1399999999999997</v>
      </c>
      <c r="B70" s="28" t="s">
        <v>162</v>
      </c>
    </row>
    <row r="71" spans="1:2" x14ac:dyDescent="0.35">
      <c r="A71" s="74">
        <v>4.1500000000000004</v>
      </c>
      <c r="B71" s="28" t="s">
        <v>163</v>
      </c>
    </row>
    <row r="72" spans="1:2" x14ac:dyDescent="0.35">
      <c r="A72" s="74">
        <v>4.16</v>
      </c>
      <c r="B72" s="28" t="s">
        <v>168</v>
      </c>
    </row>
  </sheetData>
  <printOptions horizontalCentered="1"/>
  <pageMargins left="0.70866141732283461" right="0.70866141732283461" top="0.31496062992125984" bottom="0.62992125984251968" header="0.31496062992125984" footer="0.31496062992125984"/>
  <pageSetup paperSize="9" scale="64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>
    <pageSetUpPr fitToPage="1"/>
  </sheetPr>
  <dimension ref="A1:B93"/>
  <sheetViews>
    <sheetView zoomScale="95" zoomScaleNormal="95" workbookViewId="0">
      <selection activeCell="B2" sqref="B2"/>
    </sheetView>
  </sheetViews>
  <sheetFormatPr defaultColWidth="9.08984375" defaultRowHeight="12.5" x14ac:dyDescent="0.25"/>
  <cols>
    <col min="1" max="1" width="9.08984375" style="1"/>
    <col min="2" max="2" width="126.453125" style="2" customWidth="1"/>
    <col min="3" max="16384" width="9.08984375" style="1"/>
  </cols>
  <sheetData>
    <row r="1" spans="1:2" ht="15.5" x14ac:dyDescent="0.35">
      <c r="A1" s="27"/>
      <c r="B1" s="28"/>
    </row>
    <row r="2" spans="1:2" ht="18.5" x14ac:dyDescent="0.45">
      <c r="A2" s="79"/>
      <c r="B2" s="26">
        <f>+Cover!A47</f>
        <v>0</v>
      </c>
    </row>
    <row r="3" spans="1:2" ht="18.5" x14ac:dyDescent="0.45">
      <c r="A3" s="79"/>
      <c r="B3" s="84">
        <f>+Cover!A57</f>
        <v>0</v>
      </c>
    </row>
    <row r="4" spans="1:2" ht="19" thickBot="1" x14ac:dyDescent="0.5">
      <c r="A4" s="79"/>
      <c r="B4" s="80"/>
    </row>
    <row r="5" spans="1:2" s="76" customFormat="1" ht="20" customHeight="1" thickBot="1" x14ac:dyDescent="0.4">
      <c r="A5" s="81"/>
      <c r="B5" s="82" t="s">
        <v>82</v>
      </c>
    </row>
    <row r="6" spans="1:2" ht="15.5" x14ac:dyDescent="0.35">
      <c r="A6" s="27"/>
      <c r="B6" s="27"/>
    </row>
    <row r="7" spans="1:2" ht="15.5" x14ac:dyDescent="0.35">
      <c r="A7" s="30"/>
      <c r="B7" s="34" t="s">
        <v>114</v>
      </c>
    </row>
    <row r="8" spans="1:2" ht="15.5" x14ac:dyDescent="0.35">
      <c r="A8" s="30"/>
      <c r="B8" s="34"/>
    </row>
    <row r="9" spans="1:2" ht="15.5" x14ac:dyDescent="0.35">
      <c r="A9" s="30"/>
      <c r="B9" s="28" t="s">
        <v>150</v>
      </c>
    </row>
    <row r="10" spans="1:2" ht="15.5" x14ac:dyDescent="0.35">
      <c r="A10" s="30"/>
      <c r="B10" s="28"/>
    </row>
    <row r="11" spans="1:2" ht="15.5" x14ac:dyDescent="0.35">
      <c r="A11" s="30"/>
      <c r="B11" s="28" t="s">
        <v>153</v>
      </c>
    </row>
    <row r="12" spans="1:2" ht="15.5" x14ac:dyDescent="0.35">
      <c r="A12" s="30"/>
      <c r="B12" s="83" t="s">
        <v>154</v>
      </c>
    </row>
    <row r="13" spans="1:2" ht="15.5" x14ac:dyDescent="0.35">
      <c r="A13" s="30"/>
      <c r="B13" s="83" t="s">
        <v>155</v>
      </c>
    </row>
    <row r="14" spans="1:2" ht="15.5" x14ac:dyDescent="0.35">
      <c r="A14" s="30"/>
      <c r="B14" s="83" t="s">
        <v>156</v>
      </c>
    </row>
    <row r="15" spans="1:2" ht="15.5" x14ac:dyDescent="0.35">
      <c r="A15" s="30"/>
      <c r="B15" s="83" t="s">
        <v>157</v>
      </c>
    </row>
    <row r="16" spans="1:2" ht="15.5" x14ac:dyDescent="0.35">
      <c r="A16" s="30"/>
      <c r="B16" s="83" t="s">
        <v>158</v>
      </c>
    </row>
    <row r="17" spans="1:2" ht="15.5" x14ac:dyDescent="0.35">
      <c r="A17" s="30"/>
      <c r="B17" s="83"/>
    </row>
    <row r="18" spans="1:2" ht="15.5" x14ac:dyDescent="0.35">
      <c r="A18" s="30"/>
      <c r="B18" s="83"/>
    </row>
    <row r="19" spans="1:2" ht="15.5" x14ac:dyDescent="0.35">
      <c r="A19" s="30"/>
      <c r="B19" s="83"/>
    </row>
    <row r="20" spans="1:2" ht="15.5" x14ac:dyDescent="0.35">
      <c r="A20" s="30"/>
      <c r="B20" s="83"/>
    </row>
    <row r="21" spans="1:2" ht="15.5" x14ac:dyDescent="0.35">
      <c r="A21" s="30"/>
      <c r="B21" s="83"/>
    </row>
    <row r="22" spans="1:2" ht="15.5" x14ac:dyDescent="0.35">
      <c r="A22" s="30"/>
      <c r="B22" s="83"/>
    </row>
    <row r="23" spans="1:2" ht="15.5" x14ac:dyDescent="0.35">
      <c r="A23" s="30"/>
      <c r="B23" s="83"/>
    </row>
    <row r="24" spans="1:2" ht="15.5" x14ac:dyDescent="0.35">
      <c r="A24" s="30"/>
      <c r="B24" s="83"/>
    </row>
    <row r="25" spans="1:2" ht="15.5" x14ac:dyDescent="0.35">
      <c r="A25" s="30"/>
      <c r="B25" s="83"/>
    </row>
    <row r="26" spans="1:2" ht="15.5" x14ac:dyDescent="0.35">
      <c r="A26" s="30"/>
      <c r="B26" s="83"/>
    </row>
    <row r="27" spans="1:2" ht="15.5" x14ac:dyDescent="0.35">
      <c r="A27" s="30"/>
      <c r="B27" s="83"/>
    </row>
    <row r="28" spans="1:2" ht="15.5" x14ac:dyDescent="0.35">
      <c r="A28" s="30"/>
      <c r="B28" s="83"/>
    </row>
    <row r="29" spans="1:2" ht="15.5" x14ac:dyDescent="0.35">
      <c r="A29" s="30"/>
      <c r="B29" s="83"/>
    </row>
    <row r="30" spans="1:2" ht="15.5" x14ac:dyDescent="0.35">
      <c r="A30" s="30"/>
      <c r="B30" s="83"/>
    </row>
    <row r="31" spans="1:2" ht="15.5" x14ac:dyDescent="0.35">
      <c r="A31" s="30"/>
      <c r="B31" s="83"/>
    </row>
    <row r="32" spans="1:2" ht="15.5" x14ac:dyDescent="0.35">
      <c r="A32" s="30"/>
      <c r="B32" s="83"/>
    </row>
    <row r="33" spans="1:2" ht="15.5" x14ac:dyDescent="0.35">
      <c r="A33" s="30"/>
      <c r="B33" s="83"/>
    </row>
    <row r="34" spans="1:2" ht="15.5" x14ac:dyDescent="0.35">
      <c r="A34" s="30"/>
      <c r="B34" s="83"/>
    </row>
    <row r="35" spans="1:2" ht="15.5" x14ac:dyDescent="0.35">
      <c r="A35" s="30"/>
      <c r="B35" s="83"/>
    </row>
    <row r="36" spans="1:2" ht="15.5" x14ac:dyDescent="0.35">
      <c r="A36" s="30"/>
      <c r="B36" s="83"/>
    </row>
    <row r="37" spans="1:2" ht="15.5" x14ac:dyDescent="0.35">
      <c r="A37" s="30"/>
      <c r="B37" s="83"/>
    </row>
    <row r="38" spans="1:2" ht="15.5" x14ac:dyDescent="0.35">
      <c r="A38" s="30"/>
      <c r="B38" s="83"/>
    </row>
    <row r="39" spans="1:2" ht="15.5" x14ac:dyDescent="0.35">
      <c r="A39" s="30"/>
      <c r="B39" s="83"/>
    </row>
    <row r="40" spans="1:2" ht="15.5" x14ac:dyDescent="0.35">
      <c r="A40" s="30"/>
      <c r="B40" s="83"/>
    </row>
    <row r="41" spans="1:2" ht="15.5" x14ac:dyDescent="0.35">
      <c r="A41" s="30"/>
      <c r="B41" s="83"/>
    </row>
    <row r="42" spans="1:2" ht="15.5" x14ac:dyDescent="0.35">
      <c r="A42" s="30"/>
      <c r="B42" s="83"/>
    </row>
    <row r="43" spans="1:2" ht="15.5" x14ac:dyDescent="0.35">
      <c r="A43" s="30"/>
      <c r="B43" s="83"/>
    </row>
    <row r="44" spans="1:2" ht="15.5" x14ac:dyDescent="0.35">
      <c r="A44" s="30"/>
      <c r="B44" s="83"/>
    </row>
    <row r="45" spans="1:2" ht="15.5" x14ac:dyDescent="0.35">
      <c r="A45" s="30"/>
      <c r="B45" s="83"/>
    </row>
    <row r="46" spans="1:2" ht="15.5" x14ac:dyDescent="0.35">
      <c r="A46" s="30"/>
      <c r="B46" s="83"/>
    </row>
    <row r="47" spans="1:2" ht="15.5" x14ac:dyDescent="0.35">
      <c r="A47" s="30"/>
      <c r="B47" s="83"/>
    </row>
    <row r="48" spans="1:2" ht="15.5" x14ac:dyDescent="0.35">
      <c r="A48" s="30"/>
      <c r="B48" s="83"/>
    </row>
    <row r="49" spans="1:2" ht="15.5" x14ac:dyDescent="0.35">
      <c r="A49" s="30"/>
      <c r="B49" s="83"/>
    </row>
    <row r="50" spans="1:2" ht="15.5" x14ac:dyDescent="0.35">
      <c r="A50" s="30"/>
      <c r="B50" s="83"/>
    </row>
    <row r="51" spans="1:2" ht="15.5" x14ac:dyDescent="0.35">
      <c r="A51" s="30"/>
      <c r="B51" s="83"/>
    </row>
    <row r="52" spans="1:2" ht="15.5" x14ac:dyDescent="0.35">
      <c r="A52" s="30"/>
      <c r="B52" s="83"/>
    </row>
    <row r="53" spans="1:2" ht="15.5" x14ac:dyDescent="0.35">
      <c r="A53" s="30"/>
      <c r="B53" s="83"/>
    </row>
    <row r="54" spans="1:2" ht="15.5" x14ac:dyDescent="0.35">
      <c r="A54" s="30"/>
      <c r="B54" s="83"/>
    </row>
    <row r="55" spans="1:2" ht="15.5" x14ac:dyDescent="0.35">
      <c r="A55" s="30"/>
      <c r="B55" s="83"/>
    </row>
    <row r="56" spans="1:2" ht="15.5" x14ac:dyDescent="0.35">
      <c r="A56" s="30"/>
      <c r="B56" s="83"/>
    </row>
    <row r="57" spans="1:2" ht="15.5" x14ac:dyDescent="0.35">
      <c r="A57" s="30"/>
      <c r="B57" s="83"/>
    </row>
    <row r="58" spans="1:2" ht="15.5" x14ac:dyDescent="0.35">
      <c r="A58" s="30"/>
      <c r="B58" s="83"/>
    </row>
    <row r="59" spans="1:2" ht="15.5" x14ac:dyDescent="0.35">
      <c r="A59" s="30"/>
      <c r="B59" s="83"/>
    </row>
    <row r="60" spans="1:2" ht="15.5" x14ac:dyDescent="0.35">
      <c r="A60" s="30"/>
      <c r="B60" s="83"/>
    </row>
    <row r="61" spans="1:2" ht="15.5" x14ac:dyDescent="0.35">
      <c r="A61" s="30"/>
      <c r="B61" s="83"/>
    </row>
    <row r="62" spans="1:2" ht="15.5" x14ac:dyDescent="0.35">
      <c r="A62" s="30"/>
      <c r="B62" s="83"/>
    </row>
    <row r="63" spans="1:2" ht="15.5" x14ac:dyDescent="0.35">
      <c r="A63" s="30"/>
      <c r="B63" s="83"/>
    </row>
    <row r="64" spans="1:2" ht="15.5" x14ac:dyDescent="0.35">
      <c r="A64" s="30"/>
      <c r="B64" s="83"/>
    </row>
    <row r="65" spans="1:2" ht="15.5" x14ac:dyDescent="0.35">
      <c r="A65" s="30"/>
      <c r="B65" s="83"/>
    </row>
    <row r="66" spans="1:2" ht="15.5" x14ac:dyDescent="0.35">
      <c r="A66" s="30"/>
      <c r="B66" s="83"/>
    </row>
    <row r="67" spans="1:2" ht="15.5" x14ac:dyDescent="0.35">
      <c r="A67" s="30"/>
      <c r="B67" s="83"/>
    </row>
    <row r="68" spans="1:2" ht="15.5" x14ac:dyDescent="0.35">
      <c r="A68" s="30"/>
      <c r="B68" s="83"/>
    </row>
    <row r="69" spans="1:2" ht="15.5" x14ac:dyDescent="0.35">
      <c r="A69" s="30"/>
      <c r="B69" s="83"/>
    </row>
    <row r="70" spans="1:2" ht="15.5" x14ac:dyDescent="0.35">
      <c r="A70" s="30"/>
      <c r="B70" s="83"/>
    </row>
    <row r="71" spans="1:2" ht="15.5" x14ac:dyDescent="0.35">
      <c r="A71" s="30"/>
      <c r="B71" s="83"/>
    </row>
    <row r="72" spans="1:2" ht="15.5" x14ac:dyDescent="0.35">
      <c r="A72" s="30"/>
      <c r="B72" s="83"/>
    </row>
    <row r="73" spans="1:2" ht="15.5" x14ac:dyDescent="0.35">
      <c r="A73" s="30"/>
      <c r="B73" s="83"/>
    </row>
    <row r="74" spans="1:2" ht="15.5" x14ac:dyDescent="0.35">
      <c r="A74" s="30"/>
      <c r="B74" s="28"/>
    </row>
    <row r="75" spans="1:2" ht="15.5" x14ac:dyDescent="0.35">
      <c r="A75" s="27"/>
      <c r="B75" s="28"/>
    </row>
    <row r="76" spans="1:2" ht="15.5" x14ac:dyDescent="0.35">
      <c r="A76" s="27"/>
      <c r="B76" s="28"/>
    </row>
    <row r="77" spans="1:2" ht="15.5" x14ac:dyDescent="0.35">
      <c r="A77" s="27"/>
      <c r="B77" s="28"/>
    </row>
    <row r="78" spans="1:2" ht="15.5" x14ac:dyDescent="0.35">
      <c r="A78" s="27"/>
      <c r="B78" s="28"/>
    </row>
    <row r="79" spans="1:2" ht="15.5" x14ac:dyDescent="0.35">
      <c r="A79" s="27"/>
      <c r="B79" s="28"/>
    </row>
    <row r="80" spans="1:2" ht="15.5" x14ac:dyDescent="0.35">
      <c r="A80" s="27"/>
      <c r="B80" s="28"/>
    </row>
    <row r="81" spans="1:2" ht="15.5" x14ac:dyDescent="0.35">
      <c r="A81" s="27"/>
      <c r="B81" s="28"/>
    </row>
    <row r="82" spans="1:2" ht="15.5" x14ac:dyDescent="0.35">
      <c r="A82" s="27"/>
      <c r="B82" s="28"/>
    </row>
    <row r="83" spans="1:2" ht="15.5" x14ac:dyDescent="0.35">
      <c r="A83" s="27"/>
      <c r="B83" s="28"/>
    </row>
    <row r="84" spans="1:2" ht="15.5" x14ac:dyDescent="0.35">
      <c r="A84" s="27"/>
      <c r="B84" s="28"/>
    </row>
    <row r="85" spans="1:2" ht="15.5" x14ac:dyDescent="0.35">
      <c r="A85" s="27"/>
      <c r="B85" s="28"/>
    </row>
    <row r="86" spans="1:2" ht="15.5" x14ac:dyDescent="0.35">
      <c r="A86" s="27"/>
      <c r="B86" s="28"/>
    </row>
    <row r="87" spans="1:2" ht="15.5" x14ac:dyDescent="0.35">
      <c r="A87" s="27"/>
      <c r="B87" s="28"/>
    </row>
    <row r="88" spans="1:2" ht="15.5" x14ac:dyDescent="0.35">
      <c r="A88" s="27"/>
      <c r="B88" s="28"/>
    </row>
    <row r="89" spans="1:2" ht="15.5" x14ac:dyDescent="0.35">
      <c r="A89" s="27"/>
      <c r="B89" s="28"/>
    </row>
    <row r="90" spans="1:2" ht="15.5" x14ac:dyDescent="0.35">
      <c r="A90" s="27"/>
      <c r="B90" s="28"/>
    </row>
    <row r="91" spans="1:2" ht="15.5" x14ac:dyDescent="0.35">
      <c r="A91" s="27"/>
      <c r="B91" s="28"/>
    </row>
    <row r="92" spans="1:2" ht="15.5" x14ac:dyDescent="0.35">
      <c r="A92" s="27"/>
      <c r="B92" s="28"/>
    </row>
    <row r="93" spans="1:2" ht="15.5" x14ac:dyDescent="0.35">
      <c r="A93" s="27"/>
      <c r="B93" s="28"/>
    </row>
  </sheetData>
  <sheetProtection algorithmName="SHA-512" hashValue="M8+78uHl42uqqrEatQeXy+g5su7VIh0JnobH6wNKK6TS72Ki5nMBV6SjVdXOysaXmj97EJzdPMOwy0Uxzdp3Vw==" saltValue="U/En+2Jf67PVAi67jOTqBg==" spinCount="100000" sheet="1" objects="1" scenarios="1"/>
  <printOptions horizontalCentered="1"/>
  <pageMargins left="0.70866141732283472" right="0.70866141732283472" top="0.74803149606299213" bottom="0.74803149606299213" header="0.31496062992125984" footer="0.31496062992125984"/>
  <pageSetup paperSize="9" scale="64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>
    <pageSetUpPr fitToPage="1"/>
  </sheetPr>
  <dimension ref="B1:M60"/>
  <sheetViews>
    <sheetView view="pageBreakPreview" zoomScale="60" zoomScaleNormal="71" workbookViewId="0">
      <selection activeCell="D31" sqref="D31"/>
    </sheetView>
  </sheetViews>
  <sheetFormatPr defaultColWidth="9.08984375" defaultRowHeight="15.5" x14ac:dyDescent="0.35"/>
  <cols>
    <col min="1" max="1" width="2.36328125" style="70" customWidth="1"/>
    <col min="2" max="2" width="70.453125" style="70" customWidth="1"/>
    <col min="3" max="3" width="16.453125" style="66" customWidth="1"/>
    <col min="4" max="4" width="20.6328125" style="71" customWidth="1"/>
    <col min="5" max="5" width="12.453125" style="69" bestFit="1" customWidth="1"/>
    <col min="6" max="7" width="20.6328125" style="98" customWidth="1"/>
    <col min="8" max="9" width="20.6328125" style="194" customWidth="1"/>
    <col min="10" max="10" width="10.08984375" style="70" bestFit="1" customWidth="1"/>
    <col min="11" max="11" width="13.36328125" style="70" bestFit="1" customWidth="1"/>
    <col min="12" max="16384" width="9.08984375" style="70"/>
  </cols>
  <sheetData>
    <row r="1" spans="2:13" x14ac:dyDescent="0.35">
      <c r="B1" s="90"/>
    </row>
    <row r="2" spans="2:13" s="69" customFormat="1" x14ac:dyDescent="0.35">
      <c r="B2" s="91" t="str">
        <f>Cover!F47</f>
        <v>PROJECT: ALTERATIONS TO 41 GREENSIDE STREET ROSEMARKIE, IV10 8AG</v>
      </c>
      <c r="C2" s="66"/>
      <c r="D2" s="71"/>
      <c r="F2" s="98"/>
      <c r="G2" s="98"/>
      <c r="H2" s="194"/>
      <c r="I2" s="194"/>
    </row>
    <row r="3" spans="2:13" s="69" customFormat="1" ht="16" thickBot="1" x14ac:dyDescent="0.4">
      <c r="B3" s="122" t="str">
        <f>Cover!F57</f>
        <v>DATE: 20TH NOVEMBER 2025</v>
      </c>
      <c r="C3" s="66"/>
      <c r="D3" s="71"/>
      <c r="F3" s="98"/>
      <c r="G3" s="98"/>
      <c r="H3" s="194"/>
      <c r="I3" s="194"/>
    </row>
    <row r="4" spans="2:13" s="69" customFormat="1" ht="16" thickBot="1" x14ac:dyDescent="0.4">
      <c r="B4" s="70"/>
      <c r="C4" s="66"/>
      <c r="D4" s="71"/>
      <c r="F4" s="362" t="s">
        <v>105</v>
      </c>
      <c r="G4" s="363"/>
      <c r="H4" s="363"/>
      <c r="I4" s="364"/>
    </row>
    <row r="5" spans="2:13" s="69" customFormat="1" ht="31.75" customHeight="1" thickBot="1" x14ac:dyDescent="0.4">
      <c r="B5" s="359" t="s">
        <v>99</v>
      </c>
      <c r="C5" s="360"/>
      <c r="D5" s="361"/>
      <c r="F5" s="178" t="s">
        <v>106</v>
      </c>
      <c r="G5" s="92" t="s">
        <v>107</v>
      </c>
      <c r="H5" s="92" t="s">
        <v>140</v>
      </c>
      <c r="I5" s="93" t="s">
        <v>141</v>
      </c>
      <c r="K5" s="194" t="s">
        <v>108</v>
      </c>
      <c r="L5" s="365" t="e">
        <f ca="1">CheckMissingTabs(B7:B30)</f>
        <v>#NAME?</v>
      </c>
      <c r="M5" s="365"/>
    </row>
    <row r="6" spans="2:13" x14ac:dyDescent="0.35">
      <c r="B6" s="94"/>
      <c r="D6" s="67"/>
      <c r="F6" s="160"/>
      <c r="H6" s="98"/>
      <c r="I6" s="161"/>
    </row>
    <row r="7" spans="2:13" x14ac:dyDescent="0.35">
      <c r="B7" s="94" t="s">
        <v>15</v>
      </c>
      <c r="D7" s="67">
        <f>+Demolition!F32</f>
        <v>17171.097350000004</v>
      </c>
      <c r="F7" s="200">
        <f>+Demolition!K32</f>
        <v>14931.389000000001</v>
      </c>
      <c r="G7" s="201">
        <f>+Demolition!L32</f>
        <v>0</v>
      </c>
      <c r="H7" s="98">
        <f>+Demolition!M32</f>
        <v>2239.7083500000008</v>
      </c>
      <c r="I7" s="161">
        <f>+Demolition!N32</f>
        <v>0</v>
      </c>
      <c r="K7" s="98">
        <f>+F7+G7+I7+H7-D7</f>
        <v>0</v>
      </c>
    </row>
    <row r="8" spans="2:13" x14ac:dyDescent="0.35">
      <c r="B8" s="94"/>
      <c r="D8" s="67"/>
      <c r="F8" s="160"/>
      <c r="H8" s="98"/>
      <c r="I8" s="161"/>
      <c r="K8" s="194"/>
    </row>
    <row r="9" spans="2:13" x14ac:dyDescent="0.35">
      <c r="B9" s="94" t="s">
        <v>14</v>
      </c>
      <c r="D9" s="67">
        <f>+Superstructure!F28</f>
        <v>18038.376488375001</v>
      </c>
      <c r="F9" s="200">
        <f>+Superstructure!K28</f>
        <v>4978.6882725000014</v>
      </c>
      <c r="G9" s="201">
        <f>+Superstructure!L28</f>
        <v>10706.856500000002</v>
      </c>
      <c r="H9" s="98">
        <f>+Superstructure!M28</f>
        <v>746.80324087500026</v>
      </c>
      <c r="I9" s="161">
        <f>+Superstructure!N28</f>
        <v>1606.0284750000003</v>
      </c>
      <c r="K9" s="98">
        <f t="shared" ref="K9" si="0">+F9+G9+I9+H9-D9</f>
        <v>0</v>
      </c>
    </row>
    <row r="10" spans="2:13" x14ac:dyDescent="0.35">
      <c r="B10" s="94"/>
      <c r="D10" s="67"/>
      <c r="F10" s="160"/>
      <c r="H10" s="98"/>
      <c r="I10" s="161"/>
      <c r="K10" s="194"/>
    </row>
    <row r="11" spans="2:13" x14ac:dyDescent="0.35">
      <c r="B11" s="94" t="s">
        <v>148</v>
      </c>
      <c r="D11" s="67">
        <f>+'Structural Steelwork'!F15</f>
        <v>2614.7320000000004</v>
      </c>
      <c r="F11" s="200">
        <f>+'Structural Steelwork'!K15</f>
        <v>721.68000000000006</v>
      </c>
      <c r="G11" s="201">
        <f>+'Structural Steelwork'!L15</f>
        <v>1552</v>
      </c>
      <c r="H11" s="98">
        <f>+'Structural Steelwork'!M15</f>
        <v>108.25200000000002</v>
      </c>
      <c r="I11" s="161">
        <f>+'Structural Steelwork'!N15</f>
        <v>232.80000000000004</v>
      </c>
      <c r="K11" s="98">
        <f t="shared" ref="K11" si="1">+F11+G11+I11+H11-D11</f>
        <v>0</v>
      </c>
    </row>
    <row r="12" spans="2:13" x14ac:dyDescent="0.35">
      <c r="B12" s="94"/>
      <c r="D12" s="67"/>
      <c r="F12" s="160"/>
      <c r="H12" s="98"/>
      <c r="I12" s="161"/>
      <c r="K12" s="194"/>
    </row>
    <row r="13" spans="2:13" x14ac:dyDescent="0.35">
      <c r="B13" s="94" t="s">
        <v>149</v>
      </c>
      <c r="D13" s="67">
        <f>+'Windows, Doors &amp; Rooflights'!F16</f>
        <v>2368.4249999999997</v>
      </c>
      <c r="F13" s="200">
        <f>+'Windows, Doors &amp; Rooflights'!K16</f>
        <v>2059.5</v>
      </c>
      <c r="G13" s="201">
        <f>+'Windows, Doors &amp; Rooflights'!L16</f>
        <v>0</v>
      </c>
      <c r="H13" s="98">
        <f>+'Windows, Doors &amp; Rooflights'!M16</f>
        <v>308.92500000000007</v>
      </c>
      <c r="I13" s="161">
        <f>+'Windows, Doors &amp; Rooflights'!N16</f>
        <v>0</v>
      </c>
      <c r="K13" s="98">
        <f t="shared" ref="K13" si="2">+F13+G13+I13+H13-D13</f>
        <v>0</v>
      </c>
    </row>
    <row r="14" spans="2:13" x14ac:dyDescent="0.35">
      <c r="B14" s="94"/>
      <c r="D14" s="67"/>
      <c r="F14" s="160"/>
      <c r="H14" s="98"/>
      <c r="I14" s="161"/>
      <c r="K14" s="194"/>
    </row>
    <row r="15" spans="2:13" x14ac:dyDescent="0.35">
      <c r="B15" s="94" t="s">
        <v>28</v>
      </c>
      <c r="D15" s="67">
        <f>+Partitions!F69</f>
        <v>18980.366475134306</v>
      </c>
      <c r="F15" s="200">
        <f>+Partitions!K69</f>
        <v>5238.6825409927005</v>
      </c>
      <c r="G15" s="201">
        <f>+Partitions!L69</f>
        <v>11265.983959124087</v>
      </c>
      <c r="H15" s="98">
        <f>+Partitions!M69</f>
        <v>785.8023811489054</v>
      </c>
      <c r="I15" s="161">
        <f>+Partitions!N69</f>
        <v>1689.8975938686135</v>
      </c>
      <c r="K15" s="98">
        <f t="shared" ref="K15" si="3">+F15+G15+I15+H15-D15</f>
        <v>0</v>
      </c>
    </row>
    <row r="16" spans="2:13" x14ac:dyDescent="0.35">
      <c r="B16" s="94"/>
      <c r="D16" s="67"/>
      <c r="F16" s="160"/>
      <c r="H16" s="98"/>
      <c r="I16" s="161"/>
      <c r="K16" s="194"/>
    </row>
    <row r="17" spans="2:13" x14ac:dyDescent="0.35">
      <c r="B17" s="94" t="s">
        <v>20</v>
      </c>
      <c r="D17" s="67">
        <f>+Joinery!F18</f>
        <v>3256.5158321250001</v>
      </c>
      <c r="F17" s="200">
        <f>+Joinery!K18</f>
        <v>1174.7713975000001</v>
      </c>
      <c r="G17" s="201">
        <f>+Joinery!L18</f>
        <v>1656.9815000000003</v>
      </c>
      <c r="H17" s="98">
        <f>+Joinery!M18</f>
        <v>176.21570962500004</v>
      </c>
      <c r="I17" s="161">
        <f>+Joinery!N18</f>
        <v>248.54722500000005</v>
      </c>
      <c r="K17" s="98">
        <f>+F17+G17+I17+H17-D17</f>
        <v>0</v>
      </c>
    </row>
    <row r="18" spans="2:13" x14ac:dyDescent="0.35">
      <c r="B18" s="94"/>
      <c r="D18" s="67"/>
      <c r="F18" s="160"/>
      <c r="H18" s="98"/>
      <c r="I18" s="161"/>
      <c r="K18" s="194"/>
    </row>
    <row r="19" spans="2:13" x14ac:dyDescent="0.35">
      <c r="B19" s="94" t="s">
        <v>21</v>
      </c>
      <c r="D19" s="67">
        <f>+Decoration!F23</f>
        <v>15104.963075</v>
      </c>
      <c r="F19" s="200">
        <f>+Decoration!K23</f>
        <v>4169.0505000000003</v>
      </c>
      <c r="G19" s="201">
        <f>+Decoration!L23</f>
        <v>8965.6999999999989</v>
      </c>
      <c r="H19" s="98">
        <f>+Decoration!M23</f>
        <v>625.35757500000011</v>
      </c>
      <c r="I19" s="161">
        <f>+Decoration!N23</f>
        <v>1344.855</v>
      </c>
      <c r="K19" s="98">
        <f t="shared" ref="K19" si="4">+F19+G19+I19+H19-D19</f>
        <v>0</v>
      </c>
    </row>
    <row r="20" spans="2:13" x14ac:dyDescent="0.35">
      <c r="B20" s="94"/>
      <c r="D20" s="67"/>
      <c r="F20" s="160"/>
      <c r="H20" s="98"/>
      <c r="I20" s="161"/>
      <c r="K20" s="194"/>
    </row>
    <row r="21" spans="2:13" x14ac:dyDescent="0.35">
      <c r="B21" s="94" t="s">
        <v>29</v>
      </c>
      <c r="D21" s="67">
        <f>+'Floor finishes'!F15</f>
        <v>5687.547525</v>
      </c>
      <c r="F21" s="200">
        <f>+'Floor finishes'!K15</f>
        <v>1569.7935</v>
      </c>
      <c r="G21" s="201">
        <f>+'Floor finishes'!L15</f>
        <v>3375.9</v>
      </c>
      <c r="H21" s="98">
        <f>+'Floor finishes'!M15</f>
        <v>235.46902500000007</v>
      </c>
      <c r="I21" s="161">
        <f>+'Floor finishes'!N15</f>
        <v>506.38500000000005</v>
      </c>
      <c r="K21" s="98">
        <f t="shared" ref="K21" si="5">+F21+G21+I21+H21-D21</f>
        <v>0</v>
      </c>
    </row>
    <row r="22" spans="2:13" x14ac:dyDescent="0.35">
      <c r="B22" s="94"/>
      <c r="D22" s="67"/>
      <c r="F22" s="160"/>
      <c r="H22" s="98"/>
      <c r="I22" s="161"/>
      <c r="K22" s="194"/>
    </row>
    <row r="23" spans="2:13" x14ac:dyDescent="0.35">
      <c r="B23" s="94" t="s">
        <v>45</v>
      </c>
      <c r="D23" s="67">
        <f>+'Wall finishes'!F14</f>
        <v>2036.86275</v>
      </c>
      <c r="F23" s="200">
        <f>+'Wall finishes'!K14</f>
        <v>562.18500000000006</v>
      </c>
      <c r="G23" s="201">
        <f>+'Wall finishes'!L14</f>
        <v>1209</v>
      </c>
      <c r="H23" s="98">
        <f>+'Wall finishes'!M14</f>
        <v>84.327750000000023</v>
      </c>
      <c r="I23" s="161">
        <f>+'Wall finishes'!N14</f>
        <v>181.35000000000002</v>
      </c>
      <c r="K23" s="98">
        <f t="shared" ref="K23" si="6">+F23+G23+I23+H23-D23</f>
        <v>0</v>
      </c>
    </row>
    <row r="24" spans="2:13" x14ac:dyDescent="0.35">
      <c r="B24" s="94"/>
      <c r="D24" s="67"/>
      <c r="F24" s="160"/>
      <c r="H24" s="98"/>
      <c r="I24" s="161"/>
      <c r="K24" s="194"/>
    </row>
    <row r="25" spans="2:13" x14ac:dyDescent="0.35">
      <c r="B25" s="94" t="s">
        <v>147</v>
      </c>
      <c r="D25" s="67">
        <f>+'Kitchen &amp; Bathrooms '!F18</f>
        <v>14599.25</v>
      </c>
      <c r="F25" s="200">
        <f>+'Kitchen &amp; Bathrooms '!K18</f>
        <v>12695</v>
      </c>
      <c r="G25" s="201">
        <f>+'Kitchen &amp; Bathrooms '!L18</f>
        <v>0</v>
      </c>
      <c r="H25" s="98">
        <f>+'Kitchen &amp; Bathrooms '!M18</f>
        <v>1904.2500000000002</v>
      </c>
      <c r="I25" s="161">
        <f>+'Kitchen &amp; Bathrooms '!N18</f>
        <v>0</v>
      </c>
      <c r="K25" s="98">
        <f t="shared" ref="K25" si="7">+F25+G25+I25+H25-D25</f>
        <v>0</v>
      </c>
    </row>
    <row r="26" spans="2:13" x14ac:dyDescent="0.35">
      <c r="B26" s="94"/>
      <c r="D26" s="67"/>
      <c r="F26" s="160"/>
      <c r="H26" s="98"/>
      <c r="I26" s="161"/>
      <c r="K26" s="194"/>
    </row>
    <row r="27" spans="2:13" x14ac:dyDescent="0.35">
      <c r="B27" s="94" t="s">
        <v>17</v>
      </c>
      <c r="D27" s="67">
        <f>+Electrical!F18</f>
        <v>14638.792750000001</v>
      </c>
      <c r="F27" s="200">
        <f>+Electrical!K18</f>
        <v>4040.3850000000002</v>
      </c>
      <c r="G27" s="201">
        <f>+Electrical!L18</f>
        <v>8689</v>
      </c>
      <c r="H27" s="98">
        <f>+Electrical!M18</f>
        <v>606.05775000000006</v>
      </c>
      <c r="I27" s="161">
        <f>+Electrical!N18</f>
        <v>1303.3500000000004</v>
      </c>
      <c r="K27" s="98">
        <f t="shared" ref="K27" si="8">+F27+G27+I27+H27-D27</f>
        <v>0</v>
      </c>
    </row>
    <row r="28" spans="2:13" x14ac:dyDescent="0.35">
      <c r="B28" s="94"/>
      <c r="D28" s="67"/>
      <c r="F28" s="160"/>
      <c r="H28" s="98"/>
      <c r="I28" s="161"/>
      <c r="K28" s="194"/>
    </row>
    <row r="29" spans="2:13" x14ac:dyDescent="0.35">
      <c r="B29" s="94" t="s">
        <v>16</v>
      </c>
      <c r="D29" s="67">
        <f>+Mechanical!F16</f>
        <v>2328.75</v>
      </c>
      <c r="F29" s="200">
        <f>+Mechanical!K16</f>
        <v>2025</v>
      </c>
      <c r="G29" s="201">
        <f>+Mechanical!L16</f>
        <v>0</v>
      </c>
      <c r="H29" s="98">
        <f>+Mechanical!M16</f>
        <v>303.75000000000006</v>
      </c>
      <c r="I29" s="161">
        <f>+Mechanical!N16</f>
        <v>0</v>
      </c>
      <c r="K29" s="98">
        <f t="shared" ref="K29" si="9">+F29+G29+I29+H29-D29</f>
        <v>0</v>
      </c>
    </row>
    <row r="30" spans="2:13" ht="16" thickBot="1" x14ac:dyDescent="0.4">
      <c r="B30" s="94"/>
      <c r="D30" s="67"/>
      <c r="F30" s="160"/>
      <c r="H30" s="98"/>
      <c r="I30" s="161"/>
      <c r="K30" s="194"/>
    </row>
    <row r="31" spans="2:13" s="99" customFormat="1" ht="30.25" customHeight="1" thickBot="1" x14ac:dyDescent="0.4">
      <c r="B31" s="95" t="s">
        <v>100</v>
      </c>
      <c r="C31" s="96"/>
      <c r="D31" s="97">
        <f>SUM(D6:D30)</f>
        <v>116825.67924563432</v>
      </c>
      <c r="E31" s="69"/>
      <c r="F31" s="203">
        <f>SUM(F6:F30)</f>
        <v>54166.125210992701</v>
      </c>
      <c r="G31" s="202">
        <f>SUM(G6:G30)</f>
        <v>47421.421959124091</v>
      </c>
      <c r="H31" s="219">
        <f>SUM(H6:H30)</f>
        <v>8124.9187816489075</v>
      </c>
      <c r="I31" s="199">
        <f>SUM(I6:I30)</f>
        <v>7113.2132938686154</v>
      </c>
      <c r="J31" s="70"/>
      <c r="K31" s="98">
        <f>+F31+G31+I31+H31-D31</f>
        <v>0</v>
      </c>
      <c r="L31" s="70"/>
      <c r="M31" s="70"/>
    </row>
    <row r="32" spans="2:13" x14ac:dyDescent="0.35">
      <c r="B32" s="100"/>
      <c r="D32" s="101"/>
      <c r="F32" s="160"/>
      <c r="H32" s="98"/>
      <c r="I32" s="161"/>
    </row>
    <row r="33" spans="2:13" x14ac:dyDescent="0.35">
      <c r="B33" s="94" t="s">
        <v>9</v>
      </c>
      <c r="C33" s="102"/>
      <c r="D33" s="101">
        <f>+Preliminaries!F24</f>
        <v>14777.5</v>
      </c>
      <c r="F33" s="160"/>
      <c r="H33" s="98"/>
      <c r="I33" s="161"/>
    </row>
    <row r="34" spans="2:13" x14ac:dyDescent="0.35">
      <c r="B34" s="94" t="s">
        <v>187</v>
      </c>
      <c r="C34" s="102"/>
      <c r="D34" s="101">
        <v>0</v>
      </c>
      <c r="F34" s="160"/>
      <c r="H34" s="98"/>
      <c r="I34" s="161"/>
    </row>
    <row r="35" spans="2:13" ht="16" thickBot="1" x14ac:dyDescent="0.4">
      <c r="B35" s="100"/>
      <c r="D35" s="101"/>
      <c r="F35" s="160"/>
      <c r="H35" s="98"/>
      <c r="I35" s="161"/>
    </row>
    <row r="36" spans="2:13" ht="34.5" customHeight="1" thickBot="1" x14ac:dyDescent="0.4">
      <c r="B36" s="103" t="s">
        <v>101</v>
      </c>
      <c r="C36" s="96"/>
      <c r="D36" s="373">
        <f>SUM(D31:D34)</f>
        <v>131603.17924563432</v>
      </c>
      <c r="F36" s="160"/>
      <c r="I36" s="195"/>
    </row>
    <row r="37" spans="2:13" x14ac:dyDescent="0.35">
      <c r="B37" s="104"/>
      <c r="C37" s="105"/>
      <c r="D37" s="106"/>
      <c r="F37" s="160"/>
      <c r="I37" s="195"/>
    </row>
    <row r="38" spans="2:13" x14ac:dyDescent="0.35">
      <c r="B38" s="107" t="s">
        <v>102</v>
      </c>
      <c r="C38" s="108">
        <f>+Preliminaries!J4</f>
        <v>0</v>
      </c>
      <c r="D38" s="109" t="s">
        <v>103</v>
      </c>
      <c r="F38" s="160"/>
      <c r="I38" s="195"/>
    </row>
    <row r="39" spans="2:13" ht="16" thickBot="1" x14ac:dyDescent="0.4">
      <c r="B39" s="110"/>
      <c r="C39" s="111"/>
      <c r="D39" s="68"/>
      <c r="F39" s="196"/>
      <c r="G39" s="197"/>
      <c r="H39" s="221"/>
      <c r="I39" s="198"/>
    </row>
    <row r="48" spans="2:13" s="69" customFormat="1" x14ac:dyDescent="0.35">
      <c r="B48" s="112"/>
      <c r="C48" s="113"/>
      <c r="D48" s="114"/>
      <c r="F48" s="98"/>
      <c r="G48" s="98"/>
      <c r="H48" s="194"/>
      <c r="I48" s="194"/>
      <c r="J48" s="70"/>
      <c r="K48" s="70"/>
      <c r="L48" s="70"/>
      <c r="M48" s="70"/>
    </row>
    <row r="49" spans="2:13" s="69" customFormat="1" x14ac:dyDescent="0.35">
      <c r="B49" s="112"/>
      <c r="C49" s="113"/>
      <c r="D49" s="114"/>
      <c r="F49" s="98"/>
      <c r="G49" s="98"/>
      <c r="H49" s="194"/>
      <c r="I49" s="194"/>
      <c r="J49" s="70"/>
      <c r="K49" s="70"/>
      <c r="L49" s="70"/>
      <c r="M49" s="70"/>
    </row>
    <row r="50" spans="2:13" s="69" customFormat="1" x14ac:dyDescent="0.35">
      <c r="B50" s="112"/>
      <c r="C50" s="113"/>
      <c r="D50" s="114"/>
      <c r="F50" s="98"/>
      <c r="G50" s="98"/>
      <c r="H50" s="194"/>
      <c r="I50" s="194"/>
      <c r="J50" s="70"/>
      <c r="K50" s="70"/>
      <c r="L50" s="70"/>
      <c r="M50" s="70"/>
    </row>
    <row r="51" spans="2:13" s="69" customFormat="1" x14ac:dyDescent="0.35">
      <c r="B51" s="115"/>
      <c r="C51" s="66"/>
      <c r="D51" s="71"/>
      <c r="F51" s="98"/>
      <c r="G51" s="98"/>
      <c r="H51" s="194"/>
      <c r="I51" s="194"/>
      <c r="J51" s="70"/>
      <c r="K51" s="70"/>
      <c r="L51" s="70"/>
      <c r="M51" s="70"/>
    </row>
    <row r="52" spans="2:13" s="69" customFormat="1" x14ac:dyDescent="0.35">
      <c r="B52" s="116"/>
      <c r="C52" s="117"/>
      <c r="D52" s="118"/>
      <c r="F52" s="98"/>
      <c r="G52" s="98"/>
      <c r="H52" s="194"/>
      <c r="I52" s="194"/>
      <c r="J52" s="70"/>
      <c r="K52" s="70"/>
      <c r="L52" s="70"/>
      <c r="M52" s="70"/>
    </row>
    <row r="54" spans="2:13" s="69" customFormat="1" x14ac:dyDescent="0.35">
      <c r="B54" s="116"/>
      <c r="C54" s="117"/>
      <c r="D54" s="118"/>
      <c r="F54" s="98"/>
      <c r="G54" s="98"/>
      <c r="H54" s="194"/>
      <c r="I54" s="194"/>
      <c r="J54" s="70"/>
      <c r="K54" s="70"/>
      <c r="L54" s="70"/>
      <c r="M54" s="70"/>
    </row>
    <row r="57" spans="2:13" s="69" customFormat="1" x14ac:dyDescent="0.35">
      <c r="B57" s="116"/>
      <c r="C57" s="117"/>
      <c r="D57" s="118"/>
      <c r="F57" s="98"/>
      <c r="G57" s="98"/>
      <c r="H57" s="194"/>
      <c r="I57" s="194"/>
      <c r="J57" s="70"/>
      <c r="K57" s="70"/>
      <c r="L57" s="70"/>
      <c r="M57" s="70"/>
    </row>
    <row r="58" spans="2:13" s="69" customFormat="1" x14ac:dyDescent="0.35">
      <c r="B58" s="119"/>
      <c r="C58" s="120"/>
      <c r="D58" s="121"/>
      <c r="F58" s="98"/>
      <c r="G58" s="98"/>
      <c r="H58" s="194"/>
      <c r="I58" s="194"/>
      <c r="J58" s="70"/>
      <c r="K58" s="70"/>
      <c r="L58" s="70"/>
      <c r="M58" s="70"/>
    </row>
    <row r="60" spans="2:13" s="69" customFormat="1" x14ac:dyDescent="0.35">
      <c r="B60" s="115"/>
      <c r="C60" s="66"/>
      <c r="D60" s="71"/>
      <c r="F60" s="98"/>
      <c r="G60" s="98"/>
      <c r="H60" s="194"/>
      <c r="I60" s="194"/>
      <c r="J60" s="70"/>
      <c r="K60" s="70"/>
      <c r="L60" s="70"/>
      <c r="M60" s="70"/>
    </row>
  </sheetData>
  <mergeCells count="3">
    <mergeCell ref="B5:D5"/>
    <mergeCell ref="F4:I4"/>
    <mergeCell ref="L5:M5"/>
  </mergeCells>
  <conditionalFormatting sqref="K7 K9 K11 K13 K15 K17 K19 K21 K23 K25 K27 K29">
    <cfRule type="cellIs" dxfId="72" priority="9" operator="equal">
      <formula>0</formula>
    </cfRule>
    <cfRule type="cellIs" dxfId="71" priority="10" operator="notEqual">
      <formula>0</formula>
    </cfRule>
  </conditionalFormatting>
  <conditionalFormatting sqref="K31">
    <cfRule type="cellIs" dxfId="70" priority="7" operator="equal">
      <formula>0</formula>
    </cfRule>
    <cfRule type="cellIs" dxfId="69" priority="8" operator="notEqual">
      <formula>0</formula>
    </cfRule>
  </conditionalFormatting>
  <conditionalFormatting sqref="L5">
    <cfRule type="containsText" dxfId="68" priority="2" operator="containsText" text="No Missing Sheets">
      <formula>NOT(ISERROR(SEARCH("No Missing Sheets",L5)))</formula>
    </cfRule>
  </conditionalFormatting>
  <conditionalFormatting sqref="L5:M5">
    <cfRule type="cellIs" dxfId="67" priority="1" operator="notEqual">
      <formula>"No Missing Sheets"</formula>
    </cfRule>
  </conditionalFormatting>
  <printOptions horizontalCentered="1"/>
  <pageMargins left="0.15748031496062992" right="0.15748031496062992" top="0.98425196850393704" bottom="0.98425196850393704" header="0.51181102362204722" footer="0.51181102362204722"/>
  <pageSetup paperSize="9" scale="41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3">
    <pageSetUpPr fitToPage="1"/>
  </sheetPr>
  <dimension ref="A1:S33"/>
  <sheetViews>
    <sheetView view="pageBreakPreview" zoomScale="68" zoomScaleNormal="60" zoomScaleSheetLayoutView="68" workbookViewId="0">
      <selection activeCell="N32" sqref="N32"/>
    </sheetView>
  </sheetViews>
  <sheetFormatPr defaultColWidth="9.08984375" defaultRowHeight="15.5" x14ac:dyDescent="0.35"/>
  <cols>
    <col min="1" max="1" width="5.453125" style="6" customWidth="1"/>
    <col min="2" max="2" width="80.81640625" style="8" customWidth="1"/>
    <col min="3" max="3" width="12.453125" style="19" customWidth="1"/>
    <col min="4" max="4" width="8.6328125" style="6" customWidth="1"/>
    <col min="5" max="6" width="15.6328125" style="7" customWidth="1"/>
    <col min="7" max="9" width="14.36328125" style="7" customWidth="1"/>
    <col min="10" max="10" width="14.36328125" style="6" customWidth="1"/>
    <col min="11" max="14" width="15.6328125" style="6" customWidth="1"/>
    <col min="15" max="15" width="12.453125" style="123" customWidth="1"/>
    <col min="16" max="16" width="12.453125" style="59" customWidth="1"/>
    <col min="17" max="17" width="12.453125" style="7" customWidth="1"/>
    <col min="18" max="18" width="10.453125" style="6" bestFit="1" customWidth="1"/>
    <col min="19" max="16384" width="9.08984375" style="6"/>
  </cols>
  <sheetData>
    <row r="1" spans="1:17" x14ac:dyDescent="0.35">
      <c r="A1" s="294"/>
      <c r="B1" s="294"/>
      <c r="C1" s="294"/>
      <c r="D1" s="294"/>
      <c r="E1" s="294"/>
      <c r="F1" s="294"/>
      <c r="G1" s="294"/>
      <c r="H1" s="294"/>
      <c r="I1" s="294"/>
      <c r="J1" s="294"/>
      <c r="K1" s="294"/>
      <c r="L1" s="294"/>
      <c r="M1" s="294"/>
      <c r="N1" s="294"/>
    </row>
    <row r="2" spans="1:17" x14ac:dyDescent="0.35">
      <c r="A2" s="294"/>
      <c r="B2" s="372" t="str">
        <f>+'Qual, Excl &amp; Assum'!B2</f>
        <v>PROJECT: ALTERATIONS TO 41 GREENSIDE STREET ROSEMARKIE, IV10 8AG</v>
      </c>
      <c r="C2" s="294"/>
      <c r="D2" s="294"/>
      <c r="E2" s="294"/>
      <c r="F2" s="294"/>
      <c r="G2" s="294"/>
      <c r="H2" s="294"/>
      <c r="I2" s="294"/>
      <c r="J2" s="294"/>
      <c r="K2" s="294"/>
      <c r="L2" s="294"/>
      <c r="M2" s="294"/>
      <c r="N2" s="294"/>
    </row>
    <row r="3" spans="1:17" x14ac:dyDescent="0.35">
      <c r="A3" s="294"/>
      <c r="B3" s="372" t="str">
        <f>+'Qual, Excl &amp; Assum'!B3</f>
        <v>DATE: 20TH NOVEMBER 2025</v>
      </c>
      <c r="C3" s="294"/>
      <c r="D3" s="294"/>
      <c r="E3" s="294"/>
      <c r="F3" s="294"/>
      <c r="G3" s="294"/>
      <c r="H3" s="294"/>
      <c r="I3" s="294"/>
      <c r="J3" s="294"/>
      <c r="K3" s="294"/>
      <c r="L3" s="294"/>
      <c r="M3" s="294"/>
      <c r="N3" s="294"/>
    </row>
    <row r="4" spans="1:17" s="8" customFormat="1" ht="16" thickBot="1" x14ac:dyDescent="0.4">
      <c r="A4" s="294"/>
      <c r="B4" s="294"/>
      <c r="C4" s="294"/>
      <c r="D4" s="294"/>
      <c r="E4" s="294"/>
      <c r="F4" s="294"/>
      <c r="G4" s="294"/>
      <c r="H4" s="294"/>
      <c r="I4" s="294"/>
      <c r="J4" s="294"/>
      <c r="K4" s="294"/>
      <c r="L4" s="294"/>
      <c r="M4" s="294"/>
      <c r="N4" s="294"/>
      <c r="O4" s="123"/>
      <c r="P4" s="59"/>
      <c r="Q4" s="7"/>
    </row>
    <row r="5" spans="1:17" s="8" customFormat="1" ht="38.25" customHeight="1" thickBot="1" x14ac:dyDescent="0.55000000000000004">
      <c r="A5" s="154"/>
      <c r="B5" s="158" t="s">
        <v>15</v>
      </c>
      <c r="C5" s="155"/>
      <c r="D5" s="156"/>
      <c r="E5" s="157"/>
      <c r="F5" s="162"/>
      <c r="G5" s="366" t="s">
        <v>104</v>
      </c>
      <c r="H5" s="367"/>
      <c r="I5" s="367"/>
      <c r="J5" s="368"/>
      <c r="K5" s="366" t="s">
        <v>105</v>
      </c>
      <c r="L5" s="367"/>
      <c r="M5" s="367"/>
      <c r="N5" s="368"/>
      <c r="O5" s="123"/>
      <c r="P5" s="59"/>
      <c r="Q5" s="7"/>
    </row>
    <row r="6" spans="1:17" s="8" customFormat="1" ht="18.5" x14ac:dyDescent="0.45">
      <c r="A6" s="36"/>
      <c r="B6" s="25"/>
      <c r="C6" s="124"/>
      <c r="D6" s="25"/>
      <c r="E6" s="51"/>
      <c r="F6" s="163"/>
      <c r="G6" s="210"/>
      <c r="H6" s="51"/>
      <c r="I6" s="51"/>
      <c r="J6" s="168"/>
      <c r="K6" s="170"/>
      <c r="L6" s="25"/>
      <c r="M6" s="25"/>
      <c r="N6" s="168"/>
      <c r="O6" s="123"/>
      <c r="P6" s="59"/>
      <c r="Q6" s="7"/>
    </row>
    <row r="7" spans="1:17" s="8" customFormat="1" ht="18.5" x14ac:dyDescent="0.45">
      <c r="A7" s="36"/>
      <c r="B7" s="3" t="s">
        <v>3</v>
      </c>
      <c r="C7" s="216" t="s">
        <v>8</v>
      </c>
      <c r="D7" s="217" t="s">
        <v>2</v>
      </c>
      <c r="E7" s="41" t="s">
        <v>1</v>
      </c>
      <c r="F7" s="218" t="s">
        <v>0</v>
      </c>
      <c r="G7" s="219" t="s">
        <v>25</v>
      </c>
      <c r="H7" s="219" t="s">
        <v>26</v>
      </c>
      <c r="I7" s="219" t="s">
        <v>138</v>
      </c>
      <c r="J7" s="220" t="s">
        <v>139</v>
      </c>
      <c r="K7" s="219" t="s">
        <v>25</v>
      </c>
      <c r="L7" s="219" t="s">
        <v>26</v>
      </c>
      <c r="M7" s="219" t="s">
        <v>138</v>
      </c>
      <c r="N7" s="220" t="s">
        <v>139</v>
      </c>
      <c r="O7" s="128"/>
      <c r="P7" s="159"/>
      <c r="Q7" s="41"/>
    </row>
    <row r="8" spans="1:17" s="8" customFormat="1" ht="18.5" x14ac:dyDescent="0.45">
      <c r="A8" s="36"/>
      <c r="B8" s="301" t="s">
        <v>181</v>
      </c>
      <c r="C8" s="288"/>
      <c r="D8" s="146"/>
      <c r="E8" s="289"/>
      <c r="F8" s="289"/>
      <c r="G8" s="291"/>
      <c r="H8" s="289"/>
      <c r="I8" s="289"/>
      <c r="J8" s="289"/>
      <c r="K8" s="291"/>
      <c r="L8" s="289"/>
      <c r="M8" s="289"/>
      <c r="N8" s="290"/>
      <c r="O8" s="123"/>
      <c r="P8" s="59"/>
      <c r="Q8" s="7"/>
    </row>
    <row r="9" spans="1:17" s="8" customFormat="1" ht="18.5" x14ac:dyDescent="0.45">
      <c r="A9" s="36"/>
      <c r="B9" s="130"/>
      <c r="C9" s="288"/>
      <c r="D9" s="146"/>
      <c r="E9" s="289"/>
      <c r="F9" s="289"/>
      <c r="G9" s="291"/>
      <c r="H9" s="289"/>
      <c r="I9" s="289"/>
      <c r="J9" s="289"/>
      <c r="K9" s="291"/>
      <c r="L9" s="289"/>
      <c r="M9" s="289"/>
      <c r="N9" s="290"/>
      <c r="O9" s="123"/>
      <c r="P9" s="59"/>
      <c r="Q9" s="7"/>
    </row>
    <row r="10" spans="1:17" s="8" customFormat="1" ht="18.5" x14ac:dyDescent="0.45">
      <c r="A10" s="61">
        <v>1</v>
      </c>
      <c r="B10" s="302" t="s">
        <v>194</v>
      </c>
      <c r="C10" s="288">
        <v>7</v>
      </c>
      <c r="D10" s="146" t="s">
        <v>12</v>
      </c>
      <c r="E10" s="289">
        <f t="shared" ref="E10:E28" si="0">G10+H10+J10+I10</f>
        <v>98.497500000000002</v>
      </c>
      <c r="F10" s="289">
        <f t="shared" ref="F10:F28" si="1">E10*C10</f>
        <v>689.48250000000007</v>
      </c>
      <c r="G10" s="291">
        <v>85.65</v>
      </c>
      <c r="H10" s="289"/>
      <c r="I10" s="289">
        <f>IF(D10=0," ",(G10)*(Details!$C$4+Details!$C$8))</f>
        <v>12.847500000000002</v>
      </c>
      <c r="J10" s="289">
        <f>IF(D10=0," ",(H10)*(Details!$C$6+Details!$C$8))</f>
        <v>0</v>
      </c>
      <c r="K10" s="291">
        <f t="shared" ref="K10:K28" si="2">+G10*C10</f>
        <v>599.55000000000007</v>
      </c>
      <c r="L10" s="289">
        <f t="shared" ref="L10:L28" si="3">+H10*C10</f>
        <v>0</v>
      </c>
      <c r="M10" s="289">
        <f t="shared" ref="M10:M28" si="4">IF(D10=0," ",(I10*C10))</f>
        <v>89.932500000000019</v>
      </c>
      <c r="N10" s="290">
        <f t="shared" ref="N10:N28" si="5">IF(D10=0," ",(J10*C10))</f>
        <v>0</v>
      </c>
      <c r="O10" s="123"/>
      <c r="P10" s="59"/>
      <c r="Q10" s="7"/>
    </row>
    <row r="11" spans="1:17" s="8" customFormat="1" ht="18.5" x14ac:dyDescent="0.45">
      <c r="A11" s="61">
        <f>IF(F11&lt;&gt;"",(LARGE(A$7:A10,1)+1),"")</f>
        <v>2</v>
      </c>
      <c r="B11" s="302" t="s">
        <v>195</v>
      </c>
      <c r="C11" s="288">
        <v>2</v>
      </c>
      <c r="D11" s="146" t="s">
        <v>12</v>
      </c>
      <c r="E11" s="289">
        <f t="shared" si="0"/>
        <v>132.82499999999999</v>
      </c>
      <c r="F11" s="289">
        <f t="shared" si="1"/>
        <v>265.64999999999998</v>
      </c>
      <c r="G11" s="291">
        <v>115.5</v>
      </c>
      <c r="H11" s="289"/>
      <c r="I11" s="289">
        <f>IF(D11=0," ",(G11)*(Details!$C$4+Details!$C$8))</f>
        <v>17.325000000000003</v>
      </c>
      <c r="J11" s="289">
        <f>IF(D11=0," ",(H11)*(Details!$C$6+Details!$C$8))</f>
        <v>0</v>
      </c>
      <c r="K11" s="291">
        <f t="shared" si="2"/>
        <v>231</v>
      </c>
      <c r="L11" s="289">
        <f t="shared" si="3"/>
        <v>0</v>
      </c>
      <c r="M11" s="289">
        <f t="shared" si="4"/>
        <v>34.650000000000006</v>
      </c>
      <c r="N11" s="290">
        <f t="shared" si="5"/>
        <v>0</v>
      </c>
      <c r="O11" s="123"/>
      <c r="P11" s="59"/>
      <c r="Q11" s="7"/>
    </row>
    <row r="12" spans="1:17" s="8" customFormat="1" ht="18.5" x14ac:dyDescent="0.45">
      <c r="A12" s="61">
        <f>IF(F12&lt;&gt;"",(LARGE(A$7:A11,1)+1),"")</f>
        <v>3</v>
      </c>
      <c r="B12" s="302" t="s">
        <v>196</v>
      </c>
      <c r="C12" s="288">
        <v>78.180000000000007</v>
      </c>
      <c r="D12" s="146" t="s">
        <v>13</v>
      </c>
      <c r="E12" s="289">
        <f t="shared" si="0"/>
        <v>7.4175000000000004</v>
      </c>
      <c r="F12" s="289">
        <f t="shared" si="1"/>
        <v>579.90015000000005</v>
      </c>
      <c r="G12" s="291">
        <v>6.45</v>
      </c>
      <c r="H12" s="289"/>
      <c r="I12" s="289">
        <f>IF(D12=0," ",(G12)*(Details!$C$4+Details!$C$8))</f>
        <v>0.96750000000000014</v>
      </c>
      <c r="J12" s="289">
        <f>IF(D12=0," ",(H12)*(Details!$C$6+Details!$C$8))</f>
        <v>0</v>
      </c>
      <c r="K12" s="291">
        <f t="shared" si="2"/>
        <v>504.26100000000008</v>
      </c>
      <c r="L12" s="289">
        <f t="shared" si="3"/>
        <v>0</v>
      </c>
      <c r="M12" s="289">
        <f t="shared" si="4"/>
        <v>75.639150000000015</v>
      </c>
      <c r="N12" s="290">
        <f t="shared" si="5"/>
        <v>0</v>
      </c>
      <c r="O12" s="123"/>
      <c r="P12" s="59"/>
      <c r="Q12" s="7"/>
    </row>
    <row r="13" spans="1:17" s="8" customFormat="1" ht="18.5" x14ac:dyDescent="0.45">
      <c r="A13" s="61">
        <f>IF(F13&lt;&gt;"",(LARGE(A$7:A12,1)+1),"")</f>
        <v>4</v>
      </c>
      <c r="B13" s="302" t="s">
        <v>197</v>
      </c>
      <c r="C13" s="288">
        <f>102.7*2.74</f>
        <v>281.39800000000002</v>
      </c>
      <c r="D13" s="146" t="s">
        <v>10</v>
      </c>
      <c r="E13" s="289">
        <f t="shared" si="0"/>
        <v>17.824999999999999</v>
      </c>
      <c r="F13" s="289">
        <f t="shared" si="1"/>
        <v>5015.9193500000001</v>
      </c>
      <c r="G13" s="291">
        <v>15.5</v>
      </c>
      <c r="H13" s="289"/>
      <c r="I13" s="289">
        <f>IF(D13=0," ",(G13)*(Details!$C$4+Details!$C$8))</f>
        <v>2.3250000000000002</v>
      </c>
      <c r="J13" s="289">
        <f>IF(D13=0," ",(H13)*(Details!$C$6+Details!$C$8))</f>
        <v>0</v>
      </c>
      <c r="K13" s="291">
        <f t="shared" si="2"/>
        <v>4361.6690000000008</v>
      </c>
      <c r="L13" s="289">
        <f t="shared" si="3"/>
        <v>0</v>
      </c>
      <c r="M13" s="289">
        <f t="shared" si="4"/>
        <v>654.25035000000014</v>
      </c>
      <c r="N13" s="290">
        <f t="shared" si="5"/>
        <v>0</v>
      </c>
      <c r="O13" s="123"/>
      <c r="P13" s="59"/>
      <c r="Q13" s="7"/>
    </row>
    <row r="14" spans="1:17" s="8" customFormat="1" ht="18.5" x14ac:dyDescent="0.45">
      <c r="A14" s="61">
        <f>IF(F14&lt;&gt;"",(LARGE(A$7:A13,1)+1),"")</f>
        <v>5</v>
      </c>
      <c r="B14" s="302" t="s">
        <v>198</v>
      </c>
      <c r="C14" s="288">
        <f>35.99*2.74</f>
        <v>98.612600000000015</v>
      </c>
      <c r="D14" s="146" t="s">
        <v>10</v>
      </c>
      <c r="E14" s="289">
        <f t="shared" si="0"/>
        <v>20.125</v>
      </c>
      <c r="F14" s="289">
        <f t="shared" si="1"/>
        <v>1984.5785750000002</v>
      </c>
      <c r="G14" s="291">
        <v>17.5</v>
      </c>
      <c r="H14" s="289"/>
      <c r="I14" s="289">
        <f>IF(D14=0," ",(G14)*(Details!$C$4+Details!$C$8))</f>
        <v>2.6250000000000004</v>
      </c>
      <c r="J14" s="289">
        <f>IF(D14=0," ",(H14)*(Details!$C$6+Details!$C$8))</f>
        <v>0</v>
      </c>
      <c r="K14" s="291">
        <f t="shared" si="2"/>
        <v>1725.7205000000004</v>
      </c>
      <c r="L14" s="289">
        <f t="shared" si="3"/>
        <v>0</v>
      </c>
      <c r="M14" s="289">
        <f t="shared" si="4"/>
        <v>258.8580750000001</v>
      </c>
      <c r="N14" s="290">
        <f t="shared" si="5"/>
        <v>0</v>
      </c>
      <c r="O14" s="123"/>
      <c r="P14" s="59"/>
      <c r="Q14" s="7"/>
    </row>
    <row r="15" spans="1:17" s="8" customFormat="1" ht="18.5" x14ac:dyDescent="0.45">
      <c r="A15" s="61">
        <f>IF(F15&lt;&gt;"",(LARGE(A$7:A14,1)+1),"")</f>
        <v>6</v>
      </c>
      <c r="B15" s="302" t="s">
        <v>199</v>
      </c>
      <c r="C15" s="288">
        <v>64.61</v>
      </c>
      <c r="D15" s="146" t="s">
        <v>10</v>
      </c>
      <c r="E15" s="289">
        <f t="shared" si="0"/>
        <v>22.137499999999999</v>
      </c>
      <c r="F15" s="289">
        <f t="shared" si="1"/>
        <v>1430.3038749999998</v>
      </c>
      <c r="G15" s="291">
        <v>19.25</v>
      </c>
      <c r="H15" s="289"/>
      <c r="I15" s="289">
        <f>IF(D15=0," ",(G15)*(Details!$C$4+Details!$C$8))</f>
        <v>2.8875000000000006</v>
      </c>
      <c r="J15" s="289">
        <f>IF(D15=0," ",(H15)*(Details!$C$6+Details!$C$8))</f>
        <v>0</v>
      </c>
      <c r="K15" s="291">
        <f t="shared" si="2"/>
        <v>1243.7425000000001</v>
      </c>
      <c r="L15" s="289">
        <f t="shared" si="3"/>
        <v>0</v>
      </c>
      <c r="M15" s="289">
        <f t="shared" si="4"/>
        <v>186.56137500000003</v>
      </c>
      <c r="N15" s="290">
        <f t="shared" si="5"/>
        <v>0</v>
      </c>
      <c r="O15" s="123"/>
      <c r="P15" s="59"/>
      <c r="Q15" s="7"/>
    </row>
    <row r="16" spans="1:17" s="8" customFormat="1" ht="18.5" x14ac:dyDescent="0.45">
      <c r="A16" s="61">
        <f>IF(F16&lt;&gt;"",(LARGE(A$7:A15,1)+1),"")</f>
        <v>7</v>
      </c>
      <c r="B16" s="302" t="s">
        <v>200</v>
      </c>
      <c r="C16" s="288">
        <v>73.989999999999995</v>
      </c>
      <c r="D16" s="146" t="s">
        <v>10</v>
      </c>
      <c r="E16" s="289">
        <f t="shared" ref="E16:E20" si="6">G16+H16+J16+I16</f>
        <v>11.672500000000001</v>
      </c>
      <c r="F16" s="289">
        <f t="shared" ref="F16:F20" si="7">E16*C16</f>
        <v>863.64827500000001</v>
      </c>
      <c r="G16" s="291">
        <v>10.15</v>
      </c>
      <c r="H16" s="289"/>
      <c r="I16" s="289">
        <f>IF(D16=0," ",(G16)*(Details!$C$4+Details!$C$8))</f>
        <v>1.5225000000000002</v>
      </c>
      <c r="J16" s="289">
        <f>IF(D16=0," ",(H16)*(Details!$C$6+Details!$C$8))</f>
        <v>0</v>
      </c>
      <c r="K16" s="291">
        <f t="shared" ref="K16:K20" si="8">+G16*C16</f>
        <v>750.99849999999992</v>
      </c>
      <c r="L16" s="289">
        <f t="shared" ref="L16:L20" si="9">+H16*C16</f>
        <v>0</v>
      </c>
      <c r="M16" s="289">
        <f t="shared" ref="M16:M20" si="10">IF(D16=0," ",(I16*C16))</f>
        <v>112.64977500000001</v>
      </c>
      <c r="N16" s="290">
        <f t="shared" ref="N16:N20" si="11">IF(D16=0," ",(J16*C16))</f>
        <v>0</v>
      </c>
      <c r="O16" s="123"/>
      <c r="P16" s="59"/>
      <c r="Q16" s="7"/>
    </row>
    <row r="17" spans="1:19" s="8" customFormat="1" ht="18.5" x14ac:dyDescent="0.45">
      <c r="A17" s="61">
        <f>IF(F17&lt;&gt;"",(LARGE(A$7:A16,1)+1),"")</f>
        <v>8</v>
      </c>
      <c r="B17" s="302" t="s">
        <v>201</v>
      </c>
      <c r="C17" s="288">
        <v>73.989999999999995</v>
      </c>
      <c r="D17" s="146" t="s">
        <v>10</v>
      </c>
      <c r="E17" s="289">
        <f t="shared" si="6"/>
        <v>13.225</v>
      </c>
      <c r="F17" s="289">
        <f t="shared" si="7"/>
        <v>978.51774999999986</v>
      </c>
      <c r="G17" s="291">
        <v>11.5</v>
      </c>
      <c r="H17" s="289"/>
      <c r="I17" s="289">
        <f>IF(D17=0," ",(G17)*(Details!$C$4+Details!$C$8))</f>
        <v>1.7250000000000003</v>
      </c>
      <c r="J17" s="289">
        <f>IF(D17=0," ",(H17)*(Details!$C$6+Details!$C$8))</f>
        <v>0</v>
      </c>
      <c r="K17" s="291">
        <f t="shared" si="8"/>
        <v>850.88499999999999</v>
      </c>
      <c r="L17" s="289">
        <f t="shared" si="9"/>
        <v>0</v>
      </c>
      <c r="M17" s="289">
        <f t="shared" si="10"/>
        <v>127.63275000000002</v>
      </c>
      <c r="N17" s="290">
        <f t="shared" si="11"/>
        <v>0</v>
      </c>
      <c r="O17" s="123"/>
      <c r="P17" s="59"/>
      <c r="Q17" s="7"/>
    </row>
    <row r="18" spans="1:19" s="8" customFormat="1" ht="18.5" x14ac:dyDescent="0.45">
      <c r="A18" s="61">
        <f>IF(F18&lt;&gt;"",(LARGE(A$7:A17,1)+1),"")</f>
        <v>9</v>
      </c>
      <c r="B18" s="302" t="s">
        <v>202</v>
      </c>
      <c r="C18" s="288">
        <v>73.989999999999995</v>
      </c>
      <c r="D18" s="146" t="s">
        <v>10</v>
      </c>
      <c r="E18" s="289">
        <f t="shared" si="6"/>
        <v>8.5675000000000008</v>
      </c>
      <c r="F18" s="289">
        <f t="shared" si="7"/>
        <v>633.90932499999997</v>
      </c>
      <c r="G18" s="291">
        <v>7.45</v>
      </c>
      <c r="H18" s="289"/>
      <c r="I18" s="289">
        <f>IF(D18=0," ",(G18)*(Details!$C$4+Details!$C$8))</f>
        <v>1.1175000000000002</v>
      </c>
      <c r="J18" s="289">
        <f>IF(D18=0," ",(H18)*(Details!$C$6+Details!$C$8))</f>
        <v>0</v>
      </c>
      <c r="K18" s="291">
        <f t="shared" si="8"/>
        <v>551.22550000000001</v>
      </c>
      <c r="L18" s="289">
        <f t="shared" si="9"/>
        <v>0</v>
      </c>
      <c r="M18" s="289">
        <f t="shared" si="10"/>
        <v>82.683825000000013</v>
      </c>
      <c r="N18" s="290">
        <f t="shared" si="11"/>
        <v>0</v>
      </c>
      <c r="O18" s="123"/>
      <c r="P18" s="59"/>
      <c r="Q18" s="7"/>
    </row>
    <row r="19" spans="1:19" s="8" customFormat="1" ht="18.5" x14ac:dyDescent="0.45">
      <c r="A19" s="61">
        <f>IF(F19&lt;&gt;"",(LARGE(A$7:A18,1)+1),"")</f>
        <v>10</v>
      </c>
      <c r="B19" s="302" t="s">
        <v>203</v>
      </c>
      <c r="C19" s="288">
        <v>73.989999999999995</v>
      </c>
      <c r="D19" s="146" t="s">
        <v>10</v>
      </c>
      <c r="E19" s="289">
        <f t="shared" si="6"/>
        <v>9.0274999999999999</v>
      </c>
      <c r="F19" s="289">
        <f t="shared" si="7"/>
        <v>667.94472499999995</v>
      </c>
      <c r="G19" s="291">
        <v>7.85</v>
      </c>
      <c r="H19" s="289"/>
      <c r="I19" s="289">
        <f>IF(D19=0," ",(G19)*(Details!$C$4+Details!$C$8))</f>
        <v>1.1775000000000002</v>
      </c>
      <c r="J19" s="289">
        <f>IF(D19=0," ",(H19)*(Details!$C$6+Details!$C$8))</f>
        <v>0</v>
      </c>
      <c r="K19" s="291">
        <f t="shared" si="8"/>
        <v>580.8214999999999</v>
      </c>
      <c r="L19" s="289">
        <f t="shared" si="9"/>
        <v>0</v>
      </c>
      <c r="M19" s="289">
        <f t="shared" si="10"/>
        <v>87.123225000000005</v>
      </c>
      <c r="N19" s="290">
        <f t="shared" si="11"/>
        <v>0</v>
      </c>
      <c r="O19" s="123"/>
      <c r="P19" s="59"/>
      <c r="Q19" s="7"/>
    </row>
    <row r="20" spans="1:19" s="8" customFormat="1" ht="18.5" x14ac:dyDescent="0.45">
      <c r="A20" s="61">
        <f>IF(F20&lt;&gt;"",(LARGE(A$7:A19,1)+1),"")</f>
        <v>11</v>
      </c>
      <c r="B20" s="302" t="s">
        <v>204</v>
      </c>
      <c r="C20" s="288">
        <v>73.989999999999995</v>
      </c>
      <c r="D20" s="146" t="s">
        <v>10</v>
      </c>
      <c r="E20" s="289">
        <f t="shared" si="6"/>
        <v>9.7174999999999994</v>
      </c>
      <c r="F20" s="289">
        <f t="shared" si="7"/>
        <v>718.99782499999992</v>
      </c>
      <c r="G20" s="291">
        <v>8.4499999999999993</v>
      </c>
      <c r="H20" s="289"/>
      <c r="I20" s="289">
        <f>IF(D20=0," ",(G20)*(Details!$C$4+Details!$C$8))</f>
        <v>1.2675000000000001</v>
      </c>
      <c r="J20" s="289">
        <f>IF(D20=0," ",(H20)*(Details!$C$6+Details!$C$8))</f>
        <v>0</v>
      </c>
      <c r="K20" s="291">
        <f t="shared" si="8"/>
        <v>625.21549999999991</v>
      </c>
      <c r="L20" s="289">
        <f t="shared" si="9"/>
        <v>0</v>
      </c>
      <c r="M20" s="289">
        <f t="shared" si="10"/>
        <v>93.782325</v>
      </c>
      <c r="N20" s="290">
        <f t="shared" si="11"/>
        <v>0</v>
      </c>
      <c r="O20" s="123"/>
      <c r="P20" s="59"/>
      <c r="Q20" s="7"/>
    </row>
    <row r="21" spans="1:19" s="8" customFormat="1" ht="18.5" x14ac:dyDescent="0.45">
      <c r="A21" s="61" t="str">
        <f>IF(F21&lt;&gt;"",(LARGE(A$7:A20,1)+1),"")</f>
        <v/>
      </c>
      <c r="B21" s="130"/>
      <c r="C21" s="288"/>
      <c r="D21" s="146"/>
      <c r="E21" s="289"/>
      <c r="F21" s="289"/>
      <c r="G21" s="291"/>
      <c r="H21" s="289"/>
      <c r="I21" s="289"/>
      <c r="J21" s="289"/>
      <c r="K21" s="291"/>
      <c r="L21" s="289"/>
      <c r="M21" s="289"/>
      <c r="N21" s="290"/>
      <c r="O21" s="123"/>
      <c r="P21" s="59"/>
      <c r="Q21" s="7"/>
    </row>
    <row r="22" spans="1:19" s="8" customFormat="1" ht="18.5" x14ac:dyDescent="0.45">
      <c r="A22" s="61" t="str">
        <f>IF(F22&lt;&gt;"",(LARGE(A$7:A21,1)+1),"")</f>
        <v/>
      </c>
      <c r="B22" s="301" t="s">
        <v>182</v>
      </c>
      <c r="C22" s="288"/>
      <c r="D22" s="146"/>
      <c r="E22" s="289"/>
      <c r="F22" s="289"/>
      <c r="G22" s="291"/>
      <c r="H22" s="289"/>
      <c r="I22" s="289"/>
      <c r="J22" s="289"/>
      <c r="K22" s="291"/>
      <c r="L22" s="289"/>
      <c r="M22" s="289"/>
      <c r="N22" s="290"/>
      <c r="O22" s="123"/>
      <c r="P22" s="59"/>
      <c r="Q22" s="7"/>
    </row>
    <row r="23" spans="1:19" s="8" customFormat="1" ht="18.5" x14ac:dyDescent="0.45">
      <c r="A23" s="61" t="str">
        <f>IF(F23&lt;&gt;"",(LARGE(A$7:A22,1)+1),"")</f>
        <v/>
      </c>
      <c r="B23" s="130"/>
      <c r="C23" s="288"/>
      <c r="D23" s="146"/>
      <c r="E23" s="289"/>
      <c r="F23" s="289"/>
      <c r="G23" s="291"/>
      <c r="H23" s="289"/>
      <c r="I23" s="289"/>
      <c r="J23" s="289"/>
      <c r="K23" s="291"/>
      <c r="L23" s="289"/>
      <c r="M23" s="289"/>
      <c r="N23" s="290"/>
      <c r="O23" s="123"/>
      <c r="P23" s="59"/>
      <c r="Q23" s="7"/>
    </row>
    <row r="24" spans="1:19" s="8" customFormat="1" ht="37" x14ac:dyDescent="0.45">
      <c r="A24" s="61">
        <f>IF(F24&lt;&gt;"",(LARGE(A$7:A23,1)+1),"")</f>
        <v>12</v>
      </c>
      <c r="B24" s="302" t="s">
        <v>188</v>
      </c>
      <c r="C24" s="288">
        <v>3</v>
      </c>
      <c r="D24" s="146" t="s">
        <v>12</v>
      </c>
      <c r="E24" s="289">
        <f t="shared" ref="E24:E25" si="12">G24+H24+J24+I24</f>
        <v>182.39</v>
      </c>
      <c r="F24" s="289">
        <f t="shared" ref="F24:F25" si="13">E24*C24</f>
        <v>547.16999999999996</v>
      </c>
      <c r="G24" s="291">
        <v>158.6</v>
      </c>
      <c r="H24" s="289"/>
      <c r="I24" s="289">
        <f>IF(D24=0," ",(G24)*(Details!$C$4+Details!$C$8))</f>
        <v>23.790000000000003</v>
      </c>
      <c r="J24" s="289">
        <f>IF(D24=0," ",(H24)*(Details!$C$6+Details!$C$8))</f>
        <v>0</v>
      </c>
      <c r="K24" s="291">
        <f t="shared" ref="K24:K25" si="14">+G24*C24</f>
        <v>475.79999999999995</v>
      </c>
      <c r="L24" s="289">
        <f t="shared" ref="L24:L25" si="15">+H24*C24</f>
        <v>0</v>
      </c>
      <c r="M24" s="289">
        <f t="shared" ref="M24:M25" si="16">IF(D24=0," ",(I24*C24))</f>
        <v>71.37</v>
      </c>
      <c r="N24" s="290">
        <f t="shared" ref="N24:N25" si="17">IF(D24=0," ",(J24*C24))</f>
        <v>0</v>
      </c>
      <c r="O24" s="123"/>
      <c r="P24" s="59"/>
      <c r="Q24" s="7"/>
    </row>
    <row r="25" spans="1:19" s="8" customFormat="1" ht="37" x14ac:dyDescent="0.45">
      <c r="A25" s="61">
        <f>IF(F25&lt;&gt;"",(LARGE(A$7:A24,1)+1),"")</f>
        <v>13</v>
      </c>
      <c r="B25" s="302" t="s">
        <v>189</v>
      </c>
      <c r="C25" s="288">
        <v>6</v>
      </c>
      <c r="D25" s="146" t="s">
        <v>12</v>
      </c>
      <c r="E25" s="289">
        <f t="shared" si="12"/>
        <v>190.32499999999999</v>
      </c>
      <c r="F25" s="289">
        <f t="shared" si="13"/>
        <v>1141.9499999999998</v>
      </c>
      <c r="G25" s="291">
        <v>165.5</v>
      </c>
      <c r="H25" s="289"/>
      <c r="I25" s="289">
        <f>IF(D25=0," ",(G25)*(Details!$C$4+Details!$C$8))</f>
        <v>24.825000000000003</v>
      </c>
      <c r="J25" s="289">
        <f>IF(D25=0," ",(H25)*(Details!$C$6+Details!$C$8))</f>
        <v>0</v>
      </c>
      <c r="K25" s="291">
        <f t="shared" si="14"/>
        <v>993</v>
      </c>
      <c r="L25" s="289">
        <f t="shared" si="15"/>
        <v>0</v>
      </c>
      <c r="M25" s="289">
        <f t="shared" si="16"/>
        <v>148.95000000000002</v>
      </c>
      <c r="N25" s="290">
        <f t="shared" si="17"/>
        <v>0</v>
      </c>
      <c r="O25" s="123"/>
      <c r="P25" s="59"/>
      <c r="Q25" s="7"/>
    </row>
    <row r="26" spans="1:19" s="8" customFormat="1" ht="18.5" x14ac:dyDescent="0.45">
      <c r="A26" s="61">
        <f>IF(F26&lt;&gt;"",(LARGE(A$7:A25,1)+1),"")</f>
        <v>14</v>
      </c>
      <c r="B26" s="302" t="s">
        <v>190</v>
      </c>
      <c r="C26" s="288">
        <v>3</v>
      </c>
      <c r="D26" s="146" t="s">
        <v>12</v>
      </c>
      <c r="E26" s="289">
        <f t="shared" ref="E26:E27" si="18">G26+H26+J26+I26</f>
        <v>193.77500000000001</v>
      </c>
      <c r="F26" s="289">
        <f t="shared" ref="F26:F27" si="19">E26*C26</f>
        <v>581.32500000000005</v>
      </c>
      <c r="G26" s="291">
        <v>168.5</v>
      </c>
      <c r="H26" s="289"/>
      <c r="I26" s="289">
        <f>IF(D26=0," ",(G26)*(Details!$C$4+Details!$C$8))</f>
        <v>25.275000000000002</v>
      </c>
      <c r="J26" s="289">
        <f>IF(D26=0," ",(H26)*(Details!$C$6+Details!$C$8))</f>
        <v>0</v>
      </c>
      <c r="K26" s="291">
        <f t="shared" ref="K26:K27" si="20">+G26*C26</f>
        <v>505.5</v>
      </c>
      <c r="L26" s="289">
        <f t="shared" ref="L26:L27" si="21">+H26*C26</f>
        <v>0</v>
      </c>
      <c r="M26" s="289">
        <f t="shared" ref="M26:M27" si="22">IF(D26=0," ",(I26*C26))</f>
        <v>75.825000000000003</v>
      </c>
      <c r="N26" s="290">
        <f t="shared" ref="N26:N27" si="23">IF(D26=0," ",(J26*C26))</f>
        <v>0</v>
      </c>
      <c r="O26" s="123"/>
      <c r="P26" s="59"/>
      <c r="Q26" s="7"/>
    </row>
    <row r="27" spans="1:19" s="8" customFormat="1" ht="18.5" x14ac:dyDescent="0.45">
      <c r="A27" s="61">
        <f>IF(F27&lt;&gt;"",(LARGE(A$7:A26,1)+1),"")</f>
        <v>15</v>
      </c>
      <c r="B27" s="302" t="s">
        <v>191</v>
      </c>
      <c r="C27" s="288">
        <v>2</v>
      </c>
      <c r="D27" s="146" t="s">
        <v>12</v>
      </c>
      <c r="E27" s="289">
        <f t="shared" si="18"/>
        <v>144.32499999999999</v>
      </c>
      <c r="F27" s="289">
        <f t="shared" si="19"/>
        <v>288.64999999999998</v>
      </c>
      <c r="G27" s="291">
        <v>125.5</v>
      </c>
      <c r="H27" s="289"/>
      <c r="I27" s="289">
        <f>IF(D27=0," ",(G27)*(Details!$C$4+Details!$C$8))</f>
        <v>18.825000000000003</v>
      </c>
      <c r="J27" s="289">
        <f>IF(D27=0," ",(H27)*(Details!$C$6+Details!$C$8))</f>
        <v>0</v>
      </c>
      <c r="K27" s="291">
        <f t="shared" si="20"/>
        <v>251</v>
      </c>
      <c r="L27" s="289">
        <f t="shared" si="21"/>
        <v>0</v>
      </c>
      <c r="M27" s="289">
        <f t="shared" si="22"/>
        <v>37.650000000000006</v>
      </c>
      <c r="N27" s="290">
        <f t="shared" si="23"/>
        <v>0</v>
      </c>
      <c r="O27" s="123"/>
      <c r="P27" s="59"/>
      <c r="Q27" s="7"/>
    </row>
    <row r="28" spans="1:19" s="8" customFormat="1" ht="37" x14ac:dyDescent="0.45">
      <c r="A28" s="61">
        <f>IF(F28&lt;&gt;"",(LARGE(A$7:A27,1)+1),"")</f>
        <v>16</v>
      </c>
      <c r="B28" s="302" t="s">
        <v>192</v>
      </c>
      <c r="C28" s="288">
        <v>46</v>
      </c>
      <c r="D28" s="146" t="s">
        <v>12</v>
      </c>
      <c r="E28" s="289">
        <f t="shared" si="0"/>
        <v>14.375</v>
      </c>
      <c r="F28" s="289">
        <f t="shared" si="1"/>
        <v>661.25</v>
      </c>
      <c r="G28" s="291">
        <v>12.5</v>
      </c>
      <c r="H28" s="289"/>
      <c r="I28" s="289">
        <f>IF(D28=0," ",(G28)*(Details!$C$4+Details!$C$8))</f>
        <v>1.8750000000000002</v>
      </c>
      <c r="J28" s="289">
        <f>IF(D28=0," ",(H28)*(Details!$C$6+Details!$C$8))</f>
        <v>0</v>
      </c>
      <c r="K28" s="291">
        <f t="shared" si="2"/>
        <v>575</v>
      </c>
      <c r="L28" s="289">
        <f t="shared" si="3"/>
        <v>0</v>
      </c>
      <c r="M28" s="289">
        <f t="shared" si="4"/>
        <v>86.250000000000014</v>
      </c>
      <c r="N28" s="290">
        <f t="shared" si="5"/>
        <v>0</v>
      </c>
      <c r="O28" s="123"/>
      <c r="P28" s="59"/>
      <c r="Q28" s="7"/>
    </row>
    <row r="29" spans="1:19" s="8" customFormat="1" ht="18.5" x14ac:dyDescent="0.45">
      <c r="A29" s="61">
        <f>IF(F29&lt;&gt;"",(LARGE(A$7:A28,1)+1),"")</f>
        <v>17</v>
      </c>
      <c r="B29" s="302" t="s">
        <v>193</v>
      </c>
      <c r="C29" s="288">
        <v>4</v>
      </c>
      <c r="D29" s="146" t="s">
        <v>12</v>
      </c>
      <c r="E29" s="289">
        <f t="shared" ref="E29" si="24">G29+H29+J29+I29</f>
        <v>30.475000000000001</v>
      </c>
      <c r="F29" s="289">
        <f t="shared" ref="F29" si="25">E29*C29</f>
        <v>121.9</v>
      </c>
      <c r="G29" s="291">
        <v>26.5</v>
      </c>
      <c r="H29" s="289"/>
      <c r="I29" s="289">
        <f>IF(D29=0," ",(G29)*(Details!$C$4+Details!$C$8))</f>
        <v>3.9750000000000005</v>
      </c>
      <c r="J29" s="289">
        <f>IF(D29=0," ",(H29)*(Details!$C$6+Details!$C$8))</f>
        <v>0</v>
      </c>
      <c r="K29" s="291">
        <f t="shared" ref="K29" si="26">+G29*C29</f>
        <v>106</v>
      </c>
      <c r="L29" s="289">
        <f t="shared" ref="L29" si="27">+H29*C29</f>
        <v>0</v>
      </c>
      <c r="M29" s="289">
        <f t="shared" ref="M29" si="28">IF(D29=0," ",(I29*C29))</f>
        <v>15.900000000000002</v>
      </c>
      <c r="N29" s="290">
        <f t="shared" ref="N29" si="29">IF(D29=0," ",(J29*C29))</f>
        <v>0</v>
      </c>
      <c r="O29" s="123"/>
      <c r="P29" s="59"/>
      <c r="Q29" s="7"/>
    </row>
    <row r="30" spans="1:19" s="8" customFormat="1" ht="18.5" x14ac:dyDescent="0.45">
      <c r="A30" s="61" t="str">
        <f>IF(F30&lt;&gt;"",(LARGE(A$7:A29,1)+1),"")</f>
        <v/>
      </c>
      <c r="B30" s="130"/>
      <c r="C30" s="288"/>
      <c r="D30" s="146"/>
      <c r="E30" s="289"/>
      <c r="F30" s="289"/>
      <c r="G30" s="291"/>
      <c r="H30" s="289"/>
      <c r="I30" s="289"/>
      <c r="J30" s="289"/>
      <c r="K30" s="291"/>
      <c r="L30" s="289"/>
      <c r="M30" s="289"/>
      <c r="N30" s="290"/>
      <c r="O30" s="123"/>
      <c r="P30" s="59"/>
      <c r="Q30" s="7"/>
    </row>
    <row r="31" spans="1:19" s="8" customFormat="1" ht="18.5" x14ac:dyDescent="0.45">
      <c r="A31" s="61" t="str">
        <f>IF(F31&lt;&gt;"",(LARGE(A$7:A8,1)+1),"")</f>
        <v/>
      </c>
      <c r="B31" s="130"/>
      <c r="C31" s="124"/>
      <c r="D31" s="38"/>
      <c r="E31" s="35"/>
      <c r="F31" s="165"/>
      <c r="G31" s="46"/>
      <c r="H31" s="35"/>
      <c r="I31" s="35"/>
      <c r="J31" s="165" t="str">
        <f>IF(D31=0," ",(G31+H31)*(Details!$C$4+Details!$C$6))</f>
        <v xml:space="preserve"> </v>
      </c>
      <c r="K31" s="46"/>
      <c r="L31" s="35"/>
      <c r="M31" s="35"/>
      <c r="N31" s="165"/>
      <c r="O31" s="123"/>
      <c r="P31" s="59"/>
      <c r="Q31" s="7"/>
    </row>
    <row r="32" spans="1:19" s="8" customFormat="1" ht="19" thickBot="1" x14ac:dyDescent="0.5">
      <c r="A32" s="36"/>
      <c r="B32" s="133"/>
      <c r="C32" s="124"/>
      <c r="D32" s="47"/>
      <c r="E32" s="49" t="s">
        <v>81</v>
      </c>
      <c r="F32" s="166">
        <f>SUM(F8:F31)</f>
        <v>17171.097350000004</v>
      </c>
      <c r="G32" s="46"/>
      <c r="H32" s="35"/>
      <c r="I32" s="35"/>
      <c r="J32" s="165"/>
      <c r="K32" s="207">
        <f>SUM(K8:K31)</f>
        <v>14931.389000000001</v>
      </c>
      <c r="L32" s="208">
        <f>SUM(L8:L31)</f>
        <v>0</v>
      </c>
      <c r="M32" s="208">
        <f>SUM(M8:M31)</f>
        <v>2239.7083500000008</v>
      </c>
      <c r="N32" s="166">
        <f>SUM(N8:N31)</f>
        <v>0</v>
      </c>
      <c r="O32" s="123"/>
      <c r="P32" s="59"/>
      <c r="Q32" s="7"/>
      <c r="S32" s="42"/>
    </row>
    <row r="33" spans="1:19" s="8" customFormat="1" ht="19.5" thickTop="1" thickBot="1" x14ac:dyDescent="0.5">
      <c r="A33" s="134"/>
      <c r="B33" s="135"/>
      <c r="C33" s="136"/>
      <c r="D33" s="50"/>
      <c r="E33" s="52"/>
      <c r="F33" s="167"/>
      <c r="G33" s="53"/>
      <c r="H33" s="52"/>
      <c r="I33" s="52"/>
      <c r="J33" s="54"/>
      <c r="K33" s="53"/>
      <c r="L33" s="52"/>
      <c r="M33" s="52"/>
      <c r="N33" s="54"/>
      <c r="O33" s="123"/>
      <c r="P33" s="59"/>
      <c r="Q33" s="7"/>
      <c r="S33" s="42"/>
    </row>
  </sheetData>
  <mergeCells count="2">
    <mergeCell ref="G5:J5"/>
    <mergeCell ref="K5:N5"/>
  </mergeCells>
  <conditionalFormatting sqref="G1:G4 G6">
    <cfRule type="notContainsBlanks" dxfId="66" priority="12">
      <formula>LEN(TRIM(G1))&gt;0</formula>
    </cfRule>
  </conditionalFormatting>
  <conditionalFormatting sqref="G8:G9952">
    <cfRule type="notContainsBlanks" dxfId="65" priority="2">
      <formula>LEN(TRIM(G8))&gt;0</formula>
    </cfRule>
  </conditionalFormatting>
  <conditionalFormatting sqref="H8:H30">
    <cfRule type="notContainsBlanks" dxfId="64" priority="1">
      <formula>LEN(TRIM(H8))&gt;0</formula>
    </cfRule>
  </conditionalFormatting>
  <conditionalFormatting sqref="H1:I4 H31:I10528">
    <cfRule type="notContainsBlanks" dxfId="63" priority="11">
      <formula>LEN(TRIM(H1))&gt;0</formula>
    </cfRule>
  </conditionalFormatting>
  <conditionalFormatting sqref="P32">
    <cfRule type="cellIs" dxfId="62" priority="9" operator="equal">
      <formula>0</formula>
    </cfRule>
    <cfRule type="cellIs" dxfId="61" priority="10" operator="notBetween">
      <formula>-0.01</formula>
      <formula>0.01</formula>
    </cfRule>
  </conditionalFormatting>
  <printOptions horizontalCentered="1"/>
  <pageMargins left="0.70866141732283461" right="0.70866141732283461" top="0.31496062992125984" bottom="0.55118110236220474" header="0.31496062992125984" footer="0.31496062992125984"/>
  <pageSetup paperSize="9" scale="33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7">
    <pageSetUpPr fitToPage="1"/>
  </sheetPr>
  <dimension ref="A1:Q29"/>
  <sheetViews>
    <sheetView view="pageBreakPreview" zoomScale="60" zoomScaleNormal="55" workbookViewId="0">
      <selection activeCell="N28" sqref="N28"/>
    </sheetView>
  </sheetViews>
  <sheetFormatPr defaultColWidth="9.08984375" defaultRowHeight="15.5" x14ac:dyDescent="0.35"/>
  <cols>
    <col min="1" max="1" width="5.453125" style="6" customWidth="1"/>
    <col min="2" max="2" width="89.453125" style="8" customWidth="1"/>
    <col min="3" max="3" width="12.453125" style="19" customWidth="1"/>
    <col min="4" max="4" width="8.6328125" style="6" customWidth="1"/>
    <col min="5" max="6" width="15.6328125" style="7" customWidth="1"/>
    <col min="7" max="9" width="14.36328125" style="7" customWidth="1"/>
    <col min="10" max="10" width="14.36328125" style="6" customWidth="1"/>
    <col min="11" max="14" width="15.6328125" style="7" customWidth="1"/>
    <col min="15" max="15" width="10.453125" style="6" bestFit="1" customWidth="1"/>
    <col min="16" max="16384" width="9.08984375" style="6"/>
  </cols>
  <sheetData>
    <row r="1" spans="1:17" x14ac:dyDescent="0.35">
      <c r="A1" s="16"/>
      <c r="B1" s="10"/>
      <c r="C1" s="18"/>
      <c r="D1" s="11"/>
      <c r="E1" s="20"/>
      <c r="F1" s="21"/>
      <c r="G1" s="20"/>
      <c r="H1" s="20"/>
      <c r="I1" s="20"/>
      <c r="J1" s="11"/>
    </row>
    <row r="2" spans="1:17" x14ac:dyDescent="0.35">
      <c r="A2" s="5"/>
      <c r="B2" s="3" t="str">
        <f>+'Qual, Excl &amp; Assum'!B2</f>
        <v>PROJECT: ALTERATIONS TO 41 GREENSIDE STREET ROSEMARKIE, IV10 8AG</v>
      </c>
      <c r="F2" s="22"/>
    </row>
    <row r="3" spans="1:17" x14ac:dyDescent="0.35">
      <c r="A3" s="5"/>
      <c r="B3" s="40" t="str">
        <f>+'Qual, Excl &amp; Assum'!B3</f>
        <v>DATE: 20TH NOVEMBER 2025</v>
      </c>
      <c r="F3" s="22"/>
    </row>
    <row r="4" spans="1:17" s="8" customFormat="1" ht="16" thickBot="1" x14ac:dyDescent="0.4">
      <c r="A4" s="5"/>
      <c r="B4" s="9"/>
      <c r="C4" s="19"/>
      <c r="E4" s="23"/>
      <c r="F4" s="24"/>
      <c r="G4" s="23"/>
      <c r="H4" s="23"/>
      <c r="I4" s="23"/>
      <c r="K4" s="7"/>
      <c r="L4" s="7"/>
      <c r="M4" s="7"/>
      <c r="N4" s="7"/>
    </row>
    <row r="5" spans="1:17" s="8" customFormat="1" ht="38.25" customHeight="1" thickBot="1" x14ac:dyDescent="0.4">
      <c r="A5" s="172"/>
      <c r="B5" s="173" t="s">
        <v>14</v>
      </c>
      <c r="C5" s="174"/>
      <c r="D5" s="175"/>
      <c r="E5" s="176"/>
      <c r="F5" s="181"/>
      <c r="G5" s="366" t="s">
        <v>104</v>
      </c>
      <c r="H5" s="367"/>
      <c r="I5" s="367"/>
      <c r="J5" s="368"/>
      <c r="K5" s="366" t="s">
        <v>105</v>
      </c>
      <c r="L5" s="367"/>
      <c r="M5" s="367"/>
      <c r="N5" s="368"/>
    </row>
    <row r="6" spans="1:17" s="8" customFormat="1" ht="18.5" x14ac:dyDescent="0.45">
      <c r="A6" s="36"/>
      <c r="B6" s="25"/>
      <c r="C6" s="124"/>
      <c r="D6" s="25"/>
      <c r="E6" s="51"/>
      <c r="F6" s="163"/>
      <c r="G6" s="210"/>
      <c r="H6" s="51"/>
      <c r="I6" s="51"/>
      <c r="J6" s="168"/>
      <c r="K6" s="179"/>
      <c r="L6" s="7"/>
      <c r="M6" s="7"/>
      <c r="N6" s="22"/>
    </row>
    <row r="7" spans="1:17" s="8" customFormat="1" ht="18.5" x14ac:dyDescent="0.45">
      <c r="A7" s="36"/>
      <c r="B7" s="3" t="s">
        <v>3</v>
      </c>
      <c r="C7" s="216" t="s">
        <v>8</v>
      </c>
      <c r="D7" s="217" t="s">
        <v>2</v>
      </c>
      <c r="E7" s="41" t="s">
        <v>1</v>
      </c>
      <c r="F7" s="218" t="s">
        <v>0</v>
      </c>
      <c r="G7" s="219" t="s">
        <v>25</v>
      </c>
      <c r="H7" s="219" t="s">
        <v>26</v>
      </c>
      <c r="I7" s="219" t="s">
        <v>138</v>
      </c>
      <c r="J7" s="220" t="s">
        <v>139</v>
      </c>
      <c r="K7" s="219" t="s">
        <v>25</v>
      </c>
      <c r="L7" s="219" t="s">
        <v>26</v>
      </c>
      <c r="M7" s="219" t="s">
        <v>138</v>
      </c>
      <c r="N7" s="220" t="s">
        <v>139</v>
      </c>
    </row>
    <row r="8" spans="1:17" s="8" customFormat="1" ht="18.5" x14ac:dyDescent="0.45">
      <c r="A8" s="36"/>
      <c r="B8" s="137"/>
      <c r="C8" s="304"/>
      <c r="D8" s="146"/>
      <c r="E8" s="289"/>
      <c r="F8" s="290"/>
      <c r="G8" s="291"/>
      <c r="H8" s="289"/>
      <c r="I8" s="289"/>
      <c r="J8" s="290"/>
      <c r="K8" s="311"/>
      <c r="L8" s="309"/>
      <c r="M8" s="309"/>
      <c r="N8" s="290" t="str">
        <f t="shared" ref="N8:N12" si="0">IF(D8=0," ",(J8*C8))</f>
        <v xml:space="preserve"> </v>
      </c>
    </row>
    <row r="9" spans="1:17" s="8" customFormat="1" ht="18.5" x14ac:dyDescent="0.45">
      <c r="A9" s="61" t="str">
        <f>IF(F9&lt;&gt;"",(LARGE(A$4:A8,1)+1),"")</f>
        <v/>
      </c>
      <c r="B9" s="301" t="s">
        <v>210</v>
      </c>
      <c r="C9" s="303"/>
      <c r="D9" s="305"/>
      <c r="E9" s="306"/>
      <c r="F9" s="307"/>
      <c r="G9" s="291"/>
      <c r="H9" s="289"/>
      <c r="I9" s="289"/>
      <c r="J9" s="290"/>
      <c r="K9" s="311"/>
      <c r="L9" s="312"/>
      <c r="M9" s="312"/>
      <c r="N9" s="290" t="str">
        <f t="shared" si="0"/>
        <v xml:space="preserve"> </v>
      </c>
    </row>
    <row r="10" spans="1:17" s="8" customFormat="1" ht="18.5" x14ac:dyDescent="0.45">
      <c r="A10" s="61" t="str">
        <f>IF(F10&lt;&gt;"",(LARGE(A$4:A9,1)+1),"")</f>
        <v/>
      </c>
      <c r="B10" s="132"/>
      <c r="C10" s="303"/>
      <c r="D10" s="305"/>
      <c r="E10" s="306"/>
      <c r="F10" s="307"/>
      <c r="G10" s="291"/>
      <c r="H10" s="289"/>
      <c r="I10" s="289"/>
      <c r="J10" s="290"/>
      <c r="K10" s="311"/>
      <c r="L10" s="309"/>
      <c r="M10" s="309"/>
      <c r="N10" s="290" t="str">
        <f t="shared" si="0"/>
        <v xml:space="preserve"> </v>
      </c>
    </row>
    <row r="11" spans="1:17" s="8" customFormat="1" ht="18.5" x14ac:dyDescent="0.45">
      <c r="A11" s="61">
        <v>1</v>
      </c>
      <c r="B11" s="302" t="s">
        <v>211</v>
      </c>
      <c r="C11" s="288">
        <v>77.31</v>
      </c>
      <c r="D11" s="146" t="s">
        <v>10</v>
      </c>
      <c r="E11" s="289">
        <f>G11+H11+J11+I11</f>
        <v>74.971374999999995</v>
      </c>
      <c r="F11" s="290">
        <f>E11*C11</f>
        <v>5796.0370012499998</v>
      </c>
      <c r="G11" s="291">
        <v>20.692500000000003</v>
      </c>
      <c r="H11" s="289">
        <v>44.5</v>
      </c>
      <c r="I11" s="289">
        <f>IF(D11=0," ",(G11)*(Details!$C$4+Details!$C$8))</f>
        <v>3.1038750000000008</v>
      </c>
      <c r="J11" s="290">
        <f>IF(D11=0," ",(H11)*(Details!$C$6+Details!$C$8))</f>
        <v>6.6750000000000007</v>
      </c>
      <c r="K11" s="291">
        <f>+G11*C11</f>
        <v>1599.7371750000002</v>
      </c>
      <c r="L11" s="289">
        <f>+H11*C11</f>
        <v>3440.2950000000001</v>
      </c>
      <c r="M11" s="289">
        <f>IF(D11=0," ",(I11*C11))</f>
        <v>239.96057625000006</v>
      </c>
      <c r="N11" s="290">
        <f>IF(D11=0," ",(J11*C11))</f>
        <v>516.04425000000003</v>
      </c>
    </row>
    <row r="12" spans="1:17" s="25" customFormat="1" ht="18.5" x14ac:dyDescent="0.45">
      <c r="A12" s="61">
        <f>IF(F12&lt;&gt;"",(LARGE(A$4:A11,1)+1),"")</f>
        <v>2</v>
      </c>
      <c r="B12" s="302" t="s">
        <v>212</v>
      </c>
      <c r="C12" s="288">
        <v>77.31</v>
      </c>
      <c r="D12" s="146" t="s">
        <v>10</v>
      </c>
      <c r="E12" s="289">
        <f t="shared" ref="E12" si="1">G12+H12+J12+I12</f>
        <v>21.059374999999999</v>
      </c>
      <c r="F12" s="290">
        <f>E12*C12</f>
        <v>1628.1002812500001</v>
      </c>
      <c r="G12" s="291">
        <v>5.8125</v>
      </c>
      <c r="H12" s="289">
        <v>12.5</v>
      </c>
      <c r="I12" s="289">
        <f>IF(D12=0," ",(G12)*(Details!$C$4+Details!$C$8))</f>
        <v>0.87187500000000018</v>
      </c>
      <c r="J12" s="290">
        <f>IF(D12=0," ",(H12)*(Details!$C$6+Details!$C$8))</f>
        <v>1.8750000000000002</v>
      </c>
      <c r="K12" s="291">
        <f t="shared" ref="K12" si="2">+G12*C12</f>
        <v>449.364375</v>
      </c>
      <c r="L12" s="289">
        <f t="shared" ref="L12" si="3">+H12*C12</f>
        <v>966.375</v>
      </c>
      <c r="M12" s="289">
        <f t="shared" ref="M12" si="4">IF(D12=0," ",(I12*C12))</f>
        <v>67.404656250000016</v>
      </c>
      <c r="N12" s="290">
        <f t="shared" si="0"/>
        <v>144.95625000000001</v>
      </c>
      <c r="O12" s="214"/>
      <c r="P12" s="8"/>
      <c r="Q12" s="8"/>
    </row>
    <row r="13" spans="1:17" s="25" customFormat="1" ht="18.5" x14ac:dyDescent="0.45">
      <c r="A13" s="61">
        <f>IF(F13&lt;&gt;"",(LARGE(A$4:A12,1)+1),"")</f>
        <v>3</v>
      </c>
      <c r="B13" s="302" t="s">
        <v>213</v>
      </c>
      <c r="C13" s="288">
        <v>77.31</v>
      </c>
      <c r="D13" s="146" t="s">
        <v>10</v>
      </c>
      <c r="E13" s="289">
        <f t="shared" ref="E13:E14" si="5">G13+H13+J13+I13</f>
        <v>26.113624999999999</v>
      </c>
      <c r="F13" s="290">
        <f t="shared" ref="F13:F14" si="6">E13*C13</f>
        <v>2018.8443487499999</v>
      </c>
      <c r="G13" s="291">
        <v>7.2075000000000005</v>
      </c>
      <c r="H13" s="289">
        <v>15.5</v>
      </c>
      <c r="I13" s="289">
        <f>IF(D13=0," ",(G13)*(Details!$C$4+Details!$C$8))</f>
        <v>1.0811250000000003</v>
      </c>
      <c r="J13" s="290">
        <f>IF(D13=0," ",(H13)*(Details!$C$6+Details!$C$8))</f>
        <v>2.3250000000000002</v>
      </c>
      <c r="K13" s="291">
        <f t="shared" ref="K13:K14" si="7">+G13*C13</f>
        <v>557.21182500000009</v>
      </c>
      <c r="L13" s="289">
        <f t="shared" ref="L13:L14" si="8">+H13*C13</f>
        <v>1198.3050000000001</v>
      </c>
      <c r="M13" s="289">
        <f t="shared" ref="M13:M14" si="9">IF(D13=0," ",(I13*C13))</f>
        <v>83.581773750000025</v>
      </c>
      <c r="N13" s="290">
        <f t="shared" ref="N13:N14" si="10">IF(D13=0," ",(J13*C13))</f>
        <v>179.74575000000002</v>
      </c>
      <c r="O13" s="320"/>
      <c r="P13" s="8"/>
      <c r="Q13" s="8"/>
    </row>
    <row r="14" spans="1:17" s="25" customFormat="1" ht="37" x14ac:dyDescent="0.45">
      <c r="A14" s="61">
        <f>IF(F14&lt;&gt;"",(LARGE(A$4:A13,1)+1),"")</f>
        <v>4</v>
      </c>
      <c r="B14" s="302" t="s">
        <v>214</v>
      </c>
      <c r="C14" s="288">
        <f>78/0.4</f>
        <v>195</v>
      </c>
      <c r="D14" s="146" t="s">
        <v>13</v>
      </c>
      <c r="E14" s="289">
        <f t="shared" si="5"/>
        <v>14.573087500000002</v>
      </c>
      <c r="F14" s="290">
        <f t="shared" si="6"/>
        <v>2841.7520625000002</v>
      </c>
      <c r="G14" s="291">
        <v>4.0222500000000005</v>
      </c>
      <c r="H14" s="289">
        <v>8.65</v>
      </c>
      <c r="I14" s="289">
        <f>IF(D14=0," ",(G14)*(Details!$C$4+Details!$C$8))</f>
        <v>0.60333750000000019</v>
      </c>
      <c r="J14" s="290">
        <f>IF(D14=0," ",(H14)*(Details!$C$6+Details!$C$8))</f>
        <v>1.2975000000000003</v>
      </c>
      <c r="K14" s="291">
        <f t="shared" si="7"/>
        <v>784.33875000000012</v>
      </c>
      <c r="L14" s="289">
        <f t="shared" si="8"/>
        <v>1686.75</v>
      </c>
      <c r="M14" s="289">
        <f t="shared" si="9"/>
        <v>117.65081250000004</v>
      </c>
      <c r="N14" s="290">
        <f t="shared" si="10"/>
        <v>253.01250000000007</v>
      </c>
      <c r="O14" s="320"/>
      <c r="P14" s="8"/>
      <c r="Q14" s="8"/>
    </row>
    <row r="15" spans="1:17" s="8" customFormat="1" ht="18.5" x14ac:dyDescent="0.45">
      <c r="A15" s="61" t="str">
        <f>IF(F15&lt;&gt;"",(LARGE(A$4:A14,1)+1),"")</f>
        <v/>
      </c>
      <c r="B15" s="132"/>
      <c r="C15" s="288"/>
      <c r="D15" s="146"/>
      <c r="E15" s="289"/>
      <c r="F15" s="290"/>
      <c r="G15" s="291"/>
      <c r="H15" s="289"/>
      <c r="I15" s="289" t="str">
        <f>IF(D15=0," ",(G15)*(Details!$C$4+Details!$C$8))</f>
        <v xml:space="preserve"> </v>
      </c>
      <c r="J15" s="290" t="str">
        <f>IF(D15=0," ",(H15)*(Details!$C$6+Details!$C$8))</f>
        <v xml:space="preserve"> </v>
      </c>
      <c r="K15" s="313"/>
      <c r="L15" s="309"/>
      <c r="M15" s="309"/>
      <c r="N15" s="290" t="str">
        <f t="shared" ref="N15" si="11">IF(D15=0," ",(J15*C15))</f>
        <v xml:space="preserve"> </v>
      </c>
    </row>
    <row r="16" spans="1:17" s="8" customFormat="1" ht="18.5" x14ac:dyDescent="0.45">
      <c r="A16" s="61" t="str">
        <f>IF(F16&lt;&gt;"",(LARGE(A$4:A15,1)+1),"")</f>
        <v/>
      </c>
      <c r="B16" s="293" t="s">
        <v>208</v>
      </c>
      <c r="C16" s="288"/>
      <c r="D16" s="146"/>
      <c r="E16" s="289"/>
      <c r="F16" s="290"/>
      <c r="G16" s="291"/>
      <c r="H16" s="289"/>
      <c r="I16" s="289"/>
      <c r="J16" s="290"/>
      <c r="K16" s="313"/>
      <c r="L16" s="309"/>
      <c r="M16" s="309"/>
      <c r="N16" s="290"/>
    </row>
    <row r="17" spans="1:16" s="8" customFormat="1" ht="18.5" x14ac:dyDescent="0.45">
      <c r="A17" s="61">
        <f>IF(F17&lt;&gt;"",(LARGE(A$4:A16,1)+1),"")</f>
        <v>5</v>
      </c>
      <c r="B17" s="302" t="s">
        <v>209</v>
      </c>
      <c r="C17" s="288">
        <f>77/0.6</f>
        <v>128.33333333333334</v>
      </c>
      <c r="D17" s="146" t="s">
        <v>13</v>
      </c>
      <c r="E17" s="289">
        <f t="shared" ref="E17" si="12">G17+H17+J17+I17</f>
        <v>32.852625000000003</v>
      </c>
      <c r="F17" s="290">
        <f>E17*C17</f>
        <v>4216.0868750000009</v>
      </c>
      <c r="G17" s="291">
        <v>9.0675000000000008</v>
      </c>
      <c r="H17" s="289">
        <v>19.5</v>
      </c>
      <c r="I17" s="289">
        <f>IF(D17=0," ",(G17)*(Details!$C$4+Details!$C$8))</f>
        <v>1.3601250000000003</v>
      </c>
      <c r="J17" s="290">
        <f>IF(D17=0," ",(H17)*(Details!$C$6+Details!$C$8))</f>
        <v>2.9250000000000003</v>
      </c>
      <c r="K17" s="291">
        <f t="shared" ref="K17" si="13">+G17*C17</f>
        <v>1163.6625000000001</v>
      </c>
      <c r="L17" s="289">
        <f t="shared" ref="L17" si="14">+H17*C17</f>
        <v>2502.5</v>
      </c>
      <c r="M17" s="289">
        <f t="shared" ref="M17" si="15">IF(D17=0," ",(I17*C17))</f>
        <v>174.54937500000005</v>
      </c>
      <c r="N17" s="290">
        <f t="shared" ref="N17" si="16">IF(D17=0," ",(J17*C17))</f>
        <v>375.37500000000006</v>
      </c>
    </row>
    <row r="18" spans="1:16" s="8" customFormat="1" ht="18.5" x14ac:dyDescent="0.45">
      <c r="A18" s="61" t="str">
        <f>IF(F18&lt;&gt;"",(LARGE(A$4:A17,1)+1),"")</f>
        <v/>
      </c>
      <c r="B18" s="132"/>
      <c r="C18" s="288"/>
      <c r="D18" s="146"/>
      <c r="E18" s="289"/>
      <c r="F18" s="290"/>
      <c r="G18" s="291"/>
      <c r="H18" s="289"/>
      <c r="I18" s="289"/>
      <c r="J18" s="290"/>
      <c r="K18" s="313"/>
      <c r="L18" s="309"/>
      <c r="M18" s="309"/>
      <c r="N18" s="290"/>
    </row>
    <row r="19" spans="1:16" s="8" customFormat="1" ht="18.5" x14ac:dyDescent="0.45">
      <c r="A19" s="61" t="str">
        <f>IF(F19&lt;&gt;"",(LARGE(A$4:A18,1)+1),"")</f>
        <v/>
      </c>
      <c r="B19" s="301" t="s">
        <v>205</v>
      </c>
      <c r="C19" s="288"/>
      <c r="D19" s="146"/>
      <c r="E19" s="289"/>
      <c r="F19" s="290"/>
      <c r="G19" s="291"/>
      <c r="H19" s="289"/>
      <c r="I19" s="289"/>
      <c r="J19" s="290"/>
      <c r="K19" s="313"/>
      <c r="L19" s="309"/>
      <c r="M19" s="309"/>
      <c r="N19" s="290"/>
    </row>
    <row r="20" spans="1:16" s="8" customFormat="1" ht="18.5" x14ac:dyDescent="0.45">
      <c r="A20" s="61" t="str">
        <f>IF(F20&lt;&gt;"",(LARGE(A$4:A19,1)+1),"")</f>
        <v/>
      </c>
      <c r="B20" s="132"/>
      <c r="C20" s="288"/>
      <c r="D20" s="146"/>
      <c r="E20" s="289"/>
      <c r="F20" s="290"/>
      <c r="G20" s="291"/>
      <c r="H20" s="289"/>
      <c r="I20" s="289"/>
      <c r="J20" s="290"/>
      <c r="K20" s="313"/>
      <c r="L20" s="309"/>
      <c r="M20" s="309"/>
      <c r="N20" s="290"/>
    </row>
    <row r="21" spans="1:16" s="8" customFormat="1" ht="18.5" x14ac:dyDescent="0.45">
      <c r="A21" s="61">
        <f>IF(F21&lt;&gt;"",(LARGE(A$4:A20,1)+1),"")</f>
        <v>6</v>
      </c>
      <c r="B21" s="130" t="s">
        <v>206</v>
      </c>
      <c r="C21" s="288">
        <v>5.91</v>
      </c>
      <c r="D21" s="146" t="s">
        <v>13</v>
      </c>
      <c r="E21" s="289">
        <f t="shared" ref="E21" si="17">G21+H21+J21+I21</f>
        <v>24.681587500000003</v>
      </c>
      <c r="F21" s="290">
        <f t="shared" ref="F21" si="18">E21*C21</f>
        <v>145.86818212500003</v>
      </c>
      <c r="G21" s="291">
        <v>6.8122500000000006</v>
      </c>
      <c r="H21" s="289">
        <v>14.65</v>
      </c>
      <c r="I21" s="289">
        <f>IF(D21=0," ",(G21)*(Details!$C$4+Details!$C$8))</f>
        <v>1.0218375000000002</v>
      </c>
      <c r="J21" s="290">
        <f>IF(D21=0," ",(H21)*(Details!$C$6+Details!$C$8))</f>
        <v>2.1975000000000002</v>
      </c>
      <c r="K21" s="291">
        <f t="shared" ref="K21" si="19">+G21*C21</f>
        <v>40.260397500000003</v>
      </c>
      <c r="L21" s="289">
        <f t="shared" ref="L21" si="20">+H21*C21</f>
        <v>86.581500000000005</v>
      </c>
      <c r="M21" s="289">
        <f t="shared" ref="M21" si="21">IF(D21=0," ",(I21*C21))</f>
        <v>6.039059625000001</v>
      </c>
      <c r="N21" s="290">
        <f t="shared" ref="N21" si="22">IF(D21=0," ",(J21*C21))</f>
        <v>12.987225000000002</v>
      </c>
    </row>
    <row r="22" spans="1:16" s="8" customFormat="1" ht="18.5" x14ac:dyDescent="0.45">
      <c r="A22" s="61">
        <f>IF(F22&lt;&gt;"",(LARGE(A$4:A21,1)+1),"")</f>
        <v>7</v>
      </c>
      <c r="B22" s="130" t="s">
        <v>207</v>
      </c>
      <c r="C22" s="288">
        <f>(2.74/1.2)*15</f>
        <v>34.250000000000007</v>
      </c>
      <c r="D22" s="146" t="s">
        <v>13</v>
      </c>
      <c r="E22" s="289">
        <f t="shared" ref="E22" si="23">G22+H22+J22+I22</f>
        <v>27.292950000000001</v>
      </c>
      <c r="F22" s="290">
        <f t="shared" ref="F22" si="24">E22*C22</f>
        <v>934.78353750000019</v>
      </c>
      <c r="G22" s="291">
        <v>7.5330000000000004</v>
      </c>
      <c r="H22" s="289">
        <v>16.2</v>
      </c>
      <c r="I22" s="289">
        <f>IF(D22=0," ",(G22)*(Details!$C$4+Details!$C$8))</f>
        <v>1.1299500000000002</v>
      </c>
      <c r="J22" s="290">
        <f>IF(D22=0," ",(H22)*(Details!$C$6+Details!$C$8))</f>
        <v>2.4300000000000002</v>
      </c>
      <c r="K22" s="291">
        <f t="shared" ref="K22" si="25">+G22*C22</f>
        <v>258.00525000000005</v>
      </c>
      <c r="L22" s="289">
        <f t="shared" ref="L22" si="26">+H22*C22</f>
        <v>554.85000000000014</v>
      </c>
      <c r="M22" s="289">
        <f t="shared" ref="M22" si="27">IF(D22=0," ",(I22*C22))</f>
        <v>38.700787500000018</v>
      </c>
      <c r="N22" s="290">
        <f t="shared" ref="N22" si="28">IF(D22=0," ",(J22*C22))</f>
        <v>83.22750000000002</v>
      </c>
    </row>
    <row r="23" spans="1:16" s="8" customFormat="1" ht="18.5" x14ac:dyDescent="0.45">
      <c r="A23" s="61" t="str">
        <f>IF(F23&lt;&gt;"",(LARGE(A$4:A22,1)+1),"")</f>
        <v/>
      </c>
      <c r="B23" s="132"/>
      <c r="C23" s="288"/>
      <c r="D23" s="146"/>
      <c r="E23" s="289"/>
      <c r="F23" s="290"/>
      <c r="G23" s="291"/>
      <c r="H23" s="289"/>
      <c r="I23" s="289"/>
      <c r="J23" s="290"/>
      <c r="K23" s="313"/>
      <c r="L23" s="309"/>
      <c r="M23" s="309"/>
      <c r="N23" s="290"/>
    </row>
    <row r="24" spans="1:16" s="8" customFormat="1" ht="18.5" x14ac:dyDescent="0.45">
      <c r="A24" s="61" t="str">
        <f>IF(F24&lt;&gt;"",(LARGE(A$4:A23,1)+1),"")</f>
        <v/>
      </c>
      <c r="B24" s="301" t="s">
        <v>215</v>
      </c>
      <c r="C24" s="288"/>
      <c r="D24" s="146"/>
      <c r="E24" s="289"/>
      <c r="F24" s="290"/>
      <c r="G24" s="291"/>
      <c r="H24" s="289"/>
      <c r="I24" s="289"/>
      <c r="J24" s="290"/>
      <c r="K24" s="313"/>
      <c r="L24" s="309"/>
      <c r="M24" s="309"/>
      <c r="N24" s="290"/>
    </row>
    <row r="25" spans="1:16" s="8" customFormat="1" ht="18.5" x14ac:dyDescent="0.45">
      <c r="A25" s="61" t="str">
        <f>IF(F25&lt;&gt;"",(LARGE(A$4:A24,1)+1),"")</f>
        <v/>
      </c>
      <c r="B25" s="132"/>
      <c r="C25" s="288"/>
      <c r="D25" s="146"/>
      <c r="E25" s="289"/>
      <c r="F25" s="290"/>
      <c r="G25" s="291"/>
      <c r="H25" s="289"/>
      <c r="I25" s="289"/>
      <c r="J25" s="290"/>
      <c r="K25" s="313"/>
      <c r="L25" s="309"/>
      <c r="M25" s="309"/>
      <c r="N25" s="290"/>
    </row>
    <row r="26" spans="1:16" s="8" customFormat="1" ht="18.5" x14ac:dyDescent="0.45">
      <c r="A26" s="61">
        <f>IF(F26&lt;&gt;"",(LARGE(A$4:A25,1)+1),"")</f>
        <v>8</v>
      </c>
      <c r="B26" s="130" t="s">
        <v>216</v>
      </c>
      <c r="C26" s="288">
        <v>6</v>
      </c>
      <c r="D26" s="146" t="s">
        <v>12</v>
      </c>
      <c r="E26" s="289">
        <f t="shared" ref="E26" si="29">G26+H26+J26+I26</f>
        <v>76.150700000000001</v>
      </c>
      <c r="F26" s="290">
        <f t="shared" ref="F26" si="30">E26*C26</f>
        <v>456.9042</v>
      </c>
      <c r="G26" s="291">
        <v>21.018000000000001</v>
      </c>
      <c r="H26" s="289">
        <v>45.2</v>
      </c>
      <c r="I26" s="289">
        <f>IF(D26=0," ",(G26)*(Details!$C$4+Details!$C$8))</f>
        <v>3.1527000000000007</v>
      </c>
      <c r="J26" s="290">
        <f>IF(D26=0," ",(H26)*(Details!$C$6+Details!$C$8))</f>
        <v>6.7800000000000011</v>
      </c>
      <c r="K26" s="291">
        <f t="shared" ref="K26" si="31">+G26*C26</f>
        <v>126.108</v>
      </c>
      <c r="L26" s="289">
        <f t="shared" ref="L26" si="32">+H26*C26</f>
        <v>271.20000000000005</v>
      </c>
      <c r="M26" s="289">
        <f t="shared" ref="M26" si="33">IF(D26=0," ",(I26*C26))</f>
        <v>18.916200000000003</v>
      </c>
      <c r="N26" s="290">
        <f t="shared" ref="N26" si="34">IF(D26=0," ",(J26*C26))</f>
        <v>40.680000000000007</v>
      </c>
    </row>
    <row r="27" spans="1:16" s="8" customFormat="1" ht="18.5" x14ac:dyDescent="0.45">
      <c r="A27" s="61" t="str">
        <f>IF(F27&lt;&gt;"",(LARGE(A$7:A26,1)+1),"")</f>
        <v/>
      </c>
      <c r="B27" s="130"/>
      <c r="C27" s="124"/>
      <c r="D27" s="38"/>
      <c r="E27" s="35"/>
      <c r="F27" s="165"/>
      <c r="G27" s="46"/>
      <c r="H27" s="35"/>
      <c r="I27" s="35"/>
      <c r="J27" s="165"/>
      <c r="K27" s="179"/>
      <c r="L27" s="7"/>
      <c r="M27" s="7"/>
      <c r="N27" s="165"/>
      <c r="P27" s="59"/>
    </row>
    <row r="28" spans="1:16" s="8" customFormat="1" ht="19" thickBot="1" x14ac:dyDescent="0.5">
      <c r="A28" s="36"/>
      <c r="B28" s="139"/>
      <c r="C28" s="124"/>
      <c r="D28" s="47"/>
      <c r="E28" s="49" t="s">
        <v>81</v>
      </c>
      <c r="F28" s="166">
        <f>SUM(F8:F27)</f>
        <v>18038.376488375001</v>
      </c>
      <c r="G28" s="46"/>
      <c r="H28" s="35"/>
      <c r="I28" s="35"/>
      <c r="J28" s="165" t="str">
        <f>IF(D28=0," ",(G28+H28)*(Details!$C$4+Details!$C$6))</f>
        <v xml:space="preserve"> </v>
      </c>
      <c r="K28" s="207">
        <f>SUM(K8:K27)</f>
        <v>4978.6882725000014</v>
      </c>
      <c r="L28" s="208">
        <f>SUM(L8:L27)</f>
        <v>10706.856500000002</v>
      </c>
      <c r="M28" s="208">
        <f>SUM(M8:M27)</f>
        <v>746.80324087500026</v>
      </c>
      <c r="N28" s="166">
        <f>SUM(N8:N27)</f>
        <v>1606.0284750000003</v>
      </c>
      <c r="P28" s="59"/>
    </row>
    <row r="29" spans="1:16" s="8" customFormat="1" ht="19.5" thickTop="1" thickBot="1" x14ac:dyDescent="0.5">
      <c r="A29" s="134" t="str">
        <f>IF(D29=0," ",(LARGE(A$9:A28,1)+1))</f>
        <v xml:space="preserve"> </v>
      </c>
      <c r="B29" s="141"/>
      <c r="C29" s="136"/>
      <c r="D29" s="50"/>
      <c r="E29" s="52"/>
      <c r="F29" s="167"/>
      <c r="G29" s="53"/>
      <c r="H29" s="52"/>
      <c r="I29" s="52"/>
      <c r="J29" s="54" t="str">
        <f>IF(D29=0," ",(G29+H29)*(Details!$C$4+Details!$C$6))</f>
        <v xml:space="preserve"> </v>
      </c>
      <c r="K29" s="189"/>
      <c r="L29" s="189"/>
      <c r="M29" s="189"/>
      <c r="N29" s="153"/>
      <c r="P29" s="42"/>
    </row>
  </sheetData>
  <mergeCells count="2">
    <mergeCell ref="G5:J5"/>
    <mergeCell ref="K5:N5"/>
  </mergeCells>
  <conditionalFormatting sqref="G8:G10524">
    <cfRule type="notContainsBlanks" dxfId="60" priority="1">
      <formula>LEN(TRIM(G8))&gt;0</formula>
    </cfRule>
  </conditionalFormatting>
  <conditionalFormatting sqref="H11:H26">
    <cfRule type="notContainsBlanks" dxfId="59" priority="2">
      <formula>LEN(TRIM(H11))&gt;0</formula>
    </cfRule>
  </conditionalFormatting>
  <conditionalFormatting sqref="H8:I10 H27:I10424">
    <cfRule type="notContainsBlanks" dxfId="58" priority="102">
      <formula>LEN(TRIM(H8))&gt;0</formula>
    </cfRule>
  </conditionalFormatting>
  <conditionalFormatting sqref="P28">
    <cfRule type="cellIs" dxfId="57" priority="106" operator="equal">
      <formula>0</formula>
    </cfRule>
    <cfRule type="cellIs" dxfId="56" priority="107" operator="notBetween">
      <formula>-0.01</formula>
      <formula>0.01</formula>
    </cfRule>
  </conditionalFormatting>
  <printOptions horizontalCentered="1"/>
  <pageMargins left="0.70866141732283461" right="0.70866141732283461" top="0.31496062992125984" bottom="0.55118110236220474" header="0.31496062992125984" footer="0.31496062992125984"/>
  <pageSetup paperSize="9" scale="32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8">
    <pageSetUpPr fitToPage="1"/>
  </sheetPr>
  <dimension ref="A1:AO16"/>
  <sheetViews>
    <sheetView view="pageBreakPreview" zoomScale="55" zoomScaleNormal="85" zoomScaleSheetLayoutView="55" workbookViewId="0">
      <selection activeCell="M15" sqref="M15"/>
    </sheetView>
  </sheetViews>
  <sheetFormatPr defaultColWidth="9.08984375" defaultRowHeight="15.5" x14ac:dyDescent="0.35"/>
  <cols>
    <col min="1" max="1" width="5.453125" style="6" customWidth="1"/>
    <col min="2" max="2" width="80.81640625" style="8" customWidth="1"/>
    <col min="3" max="3" width="12.453125" style="19" customWidth="1"/>
    <col min="4" max="4" width="8.6328125" style="6" customWidth="1"/>
    <col min="5" max="6" width="15.6328125" style="7" customWidth="1"/>
    <col min="7" max="9" width="14.36328125" style="7" customWidth="1"/>
    <col min="10" max="10" width="14.36328125" style="6" customWidth="1"/>
    <col min="11" max="14" width="15.6328125" style="7" customWidth="1"/>
    <col min="15" max="15" width="10.453125" style="6" bestFit="1" customWidth="1"/>
    <col min="16" max="25" width="9.08984375" style="6"/>
    <col min="26" max="41" width="9.08984375" style="6" hidden="1" customWidth="1"/>
    <col min="42" max="16384" width="9.08984375" style="6"/>
  </cols>
  <sheetData>
    <row r="1" spans="1:40" x14ac:dyDescent="0.35">
      <c r="A1" s="16"/>
      <c r="B1" s="10"/>
      <c r="C1" s="18"/>
      <c r="D1" s="11"/>
      <c r="E1" s="20"/>
      <c r="F1" s="21"/>
      <c r="G1" s="20"/>
      <c r="H1" s="20"/>
      <c r="I1" s="20"/>
      <c r="J1" s="11"/>
    </row>
    <row r="2" spans="1:40" x14ac:dyDescent="0.35">
      <c r="A2" s="5"/>
      <c r="B2" s="3" t="str">
        <f>+'Qual, Excl &amp; Assum'!B2</f>
        <v>PROJECT: ALTERATIONS TO 41 GREENSIDE STREET ROSEMARKIE, IV10 8AG</v>
      </c>
      <c r="F2" s="22"/>
    </row>
    <row r="3" spans="1:40" x14ac:dyDescent="0.35">
      <c r="A3" s="5"/>
      <c r="B3" s="40" t="str">
        <f>+'Qual, Excl &amp; Assum'!B3</f>
        <v>DATE: 20TH NOVEMBER 2025</v>
      </c>
      <c r="F3" s="22"/>
    </row>
    <row r="4" spans="1:40" s="8" customFormat="1" ht="16" thickBot="1" x14ac:dyDescent="0.4">
      <c r="A4" s="5"/>
      <c r="B4" s="9"/>
      <c r="C4" s="19"/>
      <c r="E4" s="23"/>
      <c r="F4" s="24"/>
      <c r="G4" s="23"/>
      <c r="H4" s="23"/>
      <c r="I4" s="23"/>
      <c r="K4" s="7"/>
      <c r="L4" s="7"/>
      <c r="M4" s="7"/>
      <c r="N4" s="7"/>
    </row>
    <row r="5" spans="1:40" s="8" customFormat="1" ht="38.25" customHeight="1" thickBot="1" x14ac:dyDescent="0.4">
      <c r="A5" s="172"/>
      <c r="B5" s="173" t="s">
        <v>80</v>
      </c>
      <c r="C5" s="174"/>
      <c r="D5" s="175"/>
      <c r="E5" s="176"/>
      <c r="F5" s="181"/>
      <c r="G5" s="366" t="s">
        <v>104</v>
      </c>
      <c r="H5" s="367"/>
      <c r="I5" s="367"/>
      <c r="J5" s="368"/>
      <c r="K5" s="366" t="s">
        <v>105</v>
      </c>
      <c r="L5" s="367"/>
      <c r="M5" s="367"/>
      <c r="N5" s="368"/>
    </row>
    <row r="6" spans="1:40" s="8" customFormat="1" ht="18.5" x14ac:dyDescent="0.45">
      <c r="A6" s="36"/>
      <c r="B6" s="25"/>
      <c r="C6" s="124"/>
      <c r="D6" s="25"/>
      <c r="E6" s="51"/>
      <c r="F6" s="163"/>
      <c r="G6" s="210"/>
      <c r="H6" s="51"/>
      <c r="I6" s="51"/>
      <c r="J6" s="168"/>
      <c r="K6" s="179"/>
      <c r="L6" s="7"/>
      <c r="M6" s="7"/>
      <c r="N6" s="22"/>
    </row>
    <row r="7" spans="1:40" s="8" customFormat="1" ht="18.5" x14ac:dyDescent="0.45">
      <c r="A7" s="36"/>
      <c r="B7" s="3" t="s">
        <v>3</v>
      </c>
      <c r="C7" s="216" t="s">
        <v>8</v>
      </c>
      <c r="D7" s="217" t="s">
        <v>2</v>
      </c>
      <c r="E7" s="41" t="s">
        <v>1</v>
      </c>
      <c r="F7" s="218" t="s">
        <v>0</v>
      </c>
      <c r="G7" s="219" t="s">
        <v>25</v>
      </c>
      <c r="H7" s="219" t="s">
        <v>26</v>
      </c>
      <c r="I7" s="219" t="s">
        <v>138</v>
      </c>
      <c r="J7" s="220" t="s">
        <v>139</v>
      </c>
      <c r="K7" s="219" t="s">
        <v>25</v>
      </c>
      <c r="L7" s="219" t="s">
        <v>26</v>
      </c>
      <c r="M7" s="219" t="s">
        <v>138</v>
      </c>
      <c r="N7" s="220" t="s">
        <v>139</v>
      </c>
    </row>
    <row r="8" spans="1:40" s="8" customFormat="1" ht="18.5" x14ac:dyDescent="0.45">
      <c r="A8" s="61" t="str">
        <f>IF(F8&lt;&gt;"",(LARGE(A$7:A7,1)+1),"")</f>
        <v/>
      </c>
      <c r="B8" s="130"/>
      <c r="C8" s="304"/>
      <c r="D8" s="146"/>
      <c r="E8" s="289"/>
      <c r="F8" s="290"/>
      <c r="G8" s="291"/>
      <c r="H8" s="289"/>
      <c r="I8" s="289"/>
      <c r="J8" s="290" t="str">
        <f>IF(D8=0," ",(G8+H8)*(Details!$C$4))</f>
        <v xml:space="preserve"> </v>
      </c>
      <c r="K8" s="311"/>
      <c r="L8" s="309"/>
      <c r="M8" s="309"/>
      <c r="N8" s="290" t="str">
        <f t="shared" ref="N8" si="0">IF(D8=0," ",(J8*C8))</f>
        <v xml:space="preserve"> </v>
      </c>
    </row>
    <row r="9" spans="1:40" s="8" customFormat="1" ht="18.5" x14ac:dyDescent="0.45">
      <c r="A9" s="61" t="str">
        <f>IF(F9&lt;&gt;"",(LARGE(A$7:A8,1)+1),"")</f>
        <v/>
      </c>
      <c r="B9" s="143" t="s">
        <v>43</v>
      </c>
      <c r="C9" s="303"/>
      <c r="D9" s="305"/>
      <c r="E9" s="306"/>
      <c r="F9" s="307"/>
      <c r="G9" s="291"/>
      <c r="H9" s="289"/>
      <c r="I9" s="289"/>
      <c r="J9" s="290"/>
      <c r="K9" s="311"/>
      <c r="L9" s="312"/>
      <c r="M9" s="312"/>
      <c r="N9" s="290"/>
      <c r="Z9" s="8" t="str">
        <f>IF(F9&lt;&gt;"",(LARGE(A$7:A8,1)+1),"")</f>
        <v/>
      </c>
      <c r="AA9" s="8" t="s">
        <v>43</v>
      </c>
    </row>
    <row r="10" spans="1:40" s="8" customFormat="1" ht="18.5" x14ac:dyDescent="0.45">
      <c r="A10" s="61"/>
      <c r="B10" s="143"/>
      <c r="C10" s="303"/>
      <c r="D10" s="305"/>
      <c r="E10" s="306"/>
      <c r="F10" s="307"/>
      <c r="G10" s="291"/>
      <c r="H10" s="289"/>
      <c r="I10" s="289"/>
      <c r="J10" s="290"/>
      <c r="K10" s="311"/>
      <c r="L10" s="312"/>
      <c r="M10" s="312"/>
      <c r="N10" s="290"/>
    </row>
    <row r="11" spans="1:40" s="8" customFormat="1" ht="18.5" x14ac:dyDescent="0.45">
      <c r="A11" s="61" t="str">
        <f>IF(F11&lt;&gt;"",(LARGE(A$7:A10,1)+1),"")</f>
        <v/>
      </c>
      <c r="B11" s="301" t="s">
        <v>217</v>
      </c>
      <c r="C11" s="303"/>
      <c r="D11" s="305"/>
      <c r="E11" s="306"/>
      <c r="F11" s="307"/>
      <c r="G11" s="291"/>
      <c r="H11" s="289"/>
      <c r="I11" s="289"/>
      <c r="J11" s="290"/>
      <c r="K11" s="311"/>
      <c r="L11" s="309"/>
      <c r="M11" s="309"/>
      <c r="N11" s="290"/>
      <c r="O11" s="7"/>
      <c r="Z11" s="8" t="str">
        <f>IF(F11&lt;&gt;"",(LARGE(A$7:A10,1)+1),"")</f>
        <v/>
      </c>
      <c r="AN11" s="8" t="s">
        <v>60</v>
      </c>
    </row>
    <row r="12" spans="1:40" s="8" customFormat="1" ht="18.5" x14ac:dyDescent="0.45">
      <c r="A12" s="61"/>
      <c r="B12" s="143"/>
      <c r="C12" s="303"/>
      <c r="D12" s="305"/>
      <c r="E12" s="306"/>
      <c r="F12" s="307"/>
      <c r="G12" s="291"/>
      <c r="H12" s="289"/>
      <c r="I12" s="289"/>
      <c r="J12" s="290"/>
      <c r="K12" s="311"/>
      <c r="L12" s="312"/>
      <c r="M12" s="312"/>
      <c r="N12" s="290"/>
    </row>
    <row r="13" spans="1:40" s="8" customFormat="1" ht="18.5" x14ac:dyDescent="0.45">
      <c r="A13" s="61">
        <v>1</v>
      </c>
      <c r="B13" s="25" t="s">
        <v>218</v>
      </c>
      <c r="C13" s="288">
        <v>32</v>
      </c>
      <c r="D13" s="146" t="s">
        <v>12</v>
      </c>
      <c r="E13" s="289">
        <f t="shared" ref="E13" si="1">G13+H13+J13+I13</f>
        <v>81.710375000000013</v>
      </c>
      <c r="F13" s="290">
        <f t="shared" ref="F13" si="2">E13*C13</f>
        <v>2614.7320000000004</v>
      </c>
      <c r="G13" s="291">
        <v>22.552500000000002</v>
      </c>
      <c r="H13" s="289">
        <v>48.5</v>
      </c>
      <c r="I13" s="289">
        <f>IF(D13=0," ",(G13)*([1]Details!$C$4+[1]Details!$C$8))</f>
        <v>3.3828750000000007</v>
      </c>
      <c r="J13" s="290">
        <f>IF(D13=0," ",(H13)*([1]Details!$C$6+[1]Details!$C$8))</f>
        <v>7.2750000000000012</v>
      </c>
      <c r="K13" s="291">
        <f t="shared" ref="K13" si="3">+G13*C13</f>
        <v>721.68000000000006</v>
      </c>
      <c r="L13" s="289">
        <f t="shared" ref="L13" si="4">+H13*C13</f>
        <v>1552</v>
      </c>
      <c r="M13" s="289">
        <f t="shared" ref="M13" si="5">IF(D13=0," ",(I13*C13))</f>
        <v>108.25200000000002</v>
      </c>
      <c r="N13" s="290">
        <f t="shared" ref="N13" si="6">IF(D13=0," ",(J13*C13))</f>
        <v>232.80000000000004</v>
      </c>
      <c r="O13" s="6"/>
      <c r="Z13" s="8">
        <v>1</v>
      </c>
      <c r="AC13" s="8" t="s">
        <v>13</v>
      </c>
      <c r="AD13" s="285">
        <f>G13+H13+J13+I13</f>
        <v>81.710375000000013</v>
      </c>
      <c r="AE13" s="285">
        <f>E13*C13</f>
        <v>2614.7320000000004</v>
      </c>
      <c r="AF13" s="285">
        <f>O13*1.75*[1]Details!$M$36</f>
        <v>0</v>
      </c>
      <c r="AG13" s="285">
        <f>O13*3+500/1000*O13*C13</f>
        <v>0</v>
      </c>
      <c r="AH13" s="285">
        <f>IF(D13=0," ",(G13)*([1]Details!$C$4+[1]Details!$C$8))</f>
        <v>3.3828750000000007</v>
      </c>
      <c r="AI13" s="285">
        <f>IF(D13=0," ",(H13)*([1]Details!$C$6+[1]Details!$C$8))</f>
        <v>7.2750000000000012</v>
      </c>
      <c r="AJ13" s="285">
        <f>+G13*C13</f>
        <v>721.68000000000006</v>
      </c>
      <c r="AK13" s="285">
        <f>+H13*C13</f>
        <v>1552</v>
      </c>
      <c r="AL13" s="285">
        <f>IF(D13=0," ",(I13*C13))</f>
        <v>108.25200000000002</v>
      </c>
      <c r="AM13" s="285">
        <f>IF(D13=0," ",(J13*C13))</f>
        <v>232.80000000000004</v>
      </c>
      <c r="AN13" s="8">
        <v>0</v>
      </c>
    </row>
    <row r="14" spans="1:40" s="8" customFormat="1" ht="18.5" x14ac:dyDescent="0.45">
      <c r="A14" s="61" t="str">
        <f>IF(F14&lt;&gt;"",(LARGE(A$7:A13,1)+1),"")</f>
        <v/>
      </c>
      <c r="B14" s="130"/>
      <c r="C14" s="124"/>
      <c r="D14" s="38"/>
      <c r="E14" s="35"/>
      <c r="F14" s="165"/>
      <c r="G14" s="46"/>
      <c r="H14" s="35"/>
      <c r="I14" s="35"/>
      <c r="J14" s="165"/>
      <c r="K14" s="179"/>
      <c r="L14" s="7"/>
      <c r="M14" s="7"/>
      <c r="N14" s="165"/>
    </row>
    <row r="15" spans="1:40" s="8" customFormat="1" ht="19" thickBot="1" x14ac:dyDescent="0.5">
      <c r="A15" s="36"/>
      <c r="B15" s="139"/>
      <c r="C15" s="124"/>
      <c r="D15" s="47"/>
      <c r="E15" s="49" t="s">
        <v>81</v>
      </c>
      <c r="F15" s="166">
        <f>SUM(F8:F13)</f>
        <v>2614.7320000000004</v>
      </c>
      <c r="G15" s="46"/>
      <c r="H15" s="35"/>
      <c r="I15" s="35"/>
      <c r="J15" s="165" t="str">
        <f>IF(D15=0," ",(G15+H15)*(Details!$C$4+Details!$C$6))</f>
        <v xml:space="preserve"> </v>
      </c>
      <c r="K15" s="207">
        <f>SUM(K8:K14)</f>
        <v>721.68000000000006</v>
      </c>
      <c r="L15" s="208">
        <f>SUM(L8:L14)</f>
        <v>1552</v>
      </c>
      <c r="M15" s="208">
        <f>SUM(M8:M14)</f>
        <v>108.25200000000002</v>
      </c>
      <c r="N15" s="166">
        <f>SUM(N8:N14)</f>
        <v>232.80000000000004</v>
      </c>
    </row>
    <row r="16" spans="1:40" s="8" customFormat="1" ht="19.5" thickTop="1" thickBot="1" x14ac:dyDescent="0.5">
      <c r="A16" s="134" t="str">
        <f>IF(D16=0," ",(LARGE(A$8:A15,1)+1))</f>
        <v xml:space="preserve"> </v>
      </c>
      <c r="B16" s="141"/>
      <c r="C16" s="136"/>
      <c r="D16" s="50"/>
      <c r="E16" s="52"/>
      <c r="F16" s="167"/>
      <c r="G16" s="53"/>
      <c r="H16" s="52"/>
      <c r="I16" s="52"/>
      <c r="J16" s="54" t="str">
        <f>IF(D16=0," ",(G16+H16)*(Details!$C$4+Details!$C$6))</f>
        <v xml:space="preserve"> </v>
      </c>
      <c r="K16" s="189"/>
      <c r="L16" s="189"/>
      <c r="M16" s="189"/>
      <c r="N16" s="153"/>
    </row>
  </sheetData>
  <mergeCells count="2">
    <mergeCell ref="G5:J5"/>
    <mergeCell ref="K5:N5"/>
  </mergeCells>
  <conditionalFormatting sqref="G8:G10511">
    <cfRule type="notContainsBlanks" dxfId="55" priority="1">
      <formula>LEN(TRIM(G8))&gt;0</formula>
    </cfRule>
  </conditionalFormatting>
  <conditionalFormatting sqref="H13">
    <cfRule type="notContainsBlanks" dxfId="54" priority="35">
      <formula>LEN(TRIM(H13))&gt;0</formula>
    </cfRule>
  </conditionalFormatting>
  <conditionalFormatting sqref="H8:I12">
    <cfRule type="notContainsBlanks" dxfId="53" priority="12">
      <formula>LEN(TRIM(H8))&gt;0</formula>
    </cfRule>
  </conditionalFormatting>
  <conditionalFormatting sqref="H14:I10411">
    <cfRule type="notContainsBlanks" dxfId="52" priority="37">
      <formula>LEN(TRIM(H14))&gt;0</formula>
    </cfRule>
  </conditionalFormatting>
  <printOptions horizontalCentered="1"/>
  <pageMargins left="0.70866141732283461" right="0.70866141732283461" top="0.31496062992125984" bottom="0.55118110236220474" header="0.31496062992125984" footer="0.31496062992125984"/>
  <pageSetup paperSize="9" scale="33" fitToHeight="0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2289" r:id="rId4" name="SteelworkToggleButton">
              <controlPr defaultSize="0" print="0" autoFill="0" autoPict="0" macro="[0]!ToggleSteelwork">
                <anchor moveWithCells="1">
                  <from>
                    <xdr:col>3</xdr:col>
                    <xdr:colOff>406400</xdr:colOff>
                    <xdr:row>1</xdr:row>
                    <xdr:rowOff>38100</xdr:rowOff>
                  </from>
                  <to>
                    <xdr:col>5</xdr:col>
                    <xdr:colOff>952500</xdr:colOff>
                    <xdr:row>3</xdr:row>
                    <xdr:rowOff>76200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0">
    <pageSetUpPr fitToPage="1"/>
  </sheetPr>
  <dimension ref="A1:V21"/>
  <sheetViews>
    <sheetView view="pageBreakPreview" zoomScale="55" zoomScaleNormal="55" zoomScaleSheetLayoutView="55" workbookViewId="0">
      <selection activeCell="N16" sqref="N16"/>
    </sheetView>
  </sheetViews>
  <sheetFormatPr defaultColWidth="9.08984375" defaultRowHeight="15.5" x14ac:dyDescent="0.35"/>
  <cols>
    <col min="1" max="1" width="5.81640625" style="6" customWidth="1"/>
    <col min="2" max="2" width="50.6328125" style="6" customWidth="1"/>
    <col min="3" max="3" width="12.453125" style="19" customWidth="1"/>
    <col min="4" max="4" width="8.6328125" style="6" customWidth="1"/>
    <col min="5" max="9" width="15.6328125" style="7" customWidth="1"/>
    <col min="10" max="14" width="15.6328125" style="6" customWidth="1"/>
    <col min="15" max="15" width="14" style="56" bestFit="1" customWidth="1"/>
    <col min="16" max="17" width="11.6328125" style="56" bestFit="1" customWidth="1"/>
    <col min="18" max="18" width="10.6328125" style="56" customWidth="1"/>
    <col min="19" max="19" width="11.36328125" style="19" bestFit="1" customWidth="1"/>
    <col min="20" max="20" width="14.453125" style="6" bestFit="1" customWidth="1"/>
    <col min="21" max="16384" width="9.08984375" style="6"/>
  </cols>
  <sheetData>
    <row r="1" spans="1:22" x14ac:dyDescent="0.35">
      <c r="A1" s="16"/>
      <c r="B1" s="11"/>
      <c r="C1" s="18"/>
      <c r="D1" s="11"/>
      <c r="E1" s="20"/>
      <c r="F1" s="21"/>
      <c r="G1" s="20"/>
      <c r="H1" s="20"/>
      <c r="I1" s="20"/>
      <c r="J1" s="11"/>
      <c r="S1" s="222">
        <v>1</v>
      </c>
    </row>
    <row r="2" spans="1:22" x14ac:dyDescent="0.35">
      <c r="A2" s="5"/>
      <c r="B2" s="3" t="str">
        <f>+'Qual, Excl &amp; Assum'!B2</f>
        <v>PROJECT: ALTERATIONS TO 41 GREENSIDE STREET ROSEMARKIE, IV10 8AG</v>
      </c>
      <c r="F2" s="22"/>
      <c r="P2" s="216"/>
      <c r="Q2" s="216"/>
    </row>
    <row r="3" spans="1:22" x14ac:dyDescent="0.35">
      <c r="A3" s="5"/>
      <c r="B3" s="40" t="str">
        <f>+'Qual, Excl &amp; Assum'!B3</f>
        <v>DATE: 20TH NOVEMBER 2025</v>
      </c>
      <c r="F3" s="22"/>
      <c r="R3" s="56" t="s">
        <v>44</v>
      </c>
      <c r="S3" s="55"/>
      <c r="T3" s="8"/>
      <c r="U3" s="8"/>
      <c r="V3" s="8"/>
    </row>
    <row r="4" spans="1:22" s="8" customFormat="1" x14ac:dyDescent="0.35">
      <c r="A4" s="5"/>
      <c r="B4" s="6"/>
      <c r="C4" s="19"/>
      <c r="E4" s="23"/>
      <c r="F4" s="24"/>
      <c r="G4" s="23"/>
      <c r="H4" s="23"/>
      <c r="I4" s="23"/>
      <c r="O4" s="56"/>
      <c r="P4" s="7"/>
      <c r="Q4" s="7"/>
      <c r="R4" s="56">
        <v>800</v>
      </c>
      <c r="S4" s="55"/>
    </row>
    <row r="5" spans="1:22" s="8" customFormat="1" ht="16" thickBot="1" x14ac:dyDescent="0.4">
      <c r="A5" s="5"/>
      <c r="B5" s="6"/>
      <c r="C5" s="19"/>
      <c r="E5" s="23"/>
      <c r="F5" s="24"/>
      <c r="G5" s="23"/>
      <c r="H5" s="23"/>
      <c r="I5" s="23"/>
      <c r="J5" s="189"/>
      <c r="K5" s="189"/>
      <c r="O5" s="56"/>
      <c r="P5" s="56"/>
      <c r="Q5" s="56"/>
      <c r="R5" s="56"/>
      <c r="S5" s="7"/>
    </row>
    <row r="6" spans="1:22" s="8" customFormat="1" ht="37.5" customHeight="1" thickBot="1" x14ac:dyDescent="0.55000000000000004">
      <c r="A6" s="182"/>
      <c r="B6" s="183" t="s">
        <v>79</v>
      </c>
      <c r="C6" s="184"/>
      <c r="D6" s="185"/>
      <c r="E6" s="186"/>
      <c r="F6" s="187"/>
      <c r="G6" s="366" t="s">
        <v>104</v>
      </c>
      <c r="H6" s="367"/>
      <c r="I6" s="367"/>
      <c r="J6" s="368"/>
      <c r="K6" s="367" t="s">
        <v>105</v>
      </c>
      <c r="L6" s="367"/>
      <c r="M6" s="367"/>
      <c r="N6" s="368"/>
      <c r="O6" s="56"/>
      <c r="P6" s="56"/>
      <c r="Q6" s="56"/>
      <c r="R6" s="56"/>
      <c r="S6" s="55"/>
    </row>
    <row r="7" spans="1:22" s="8" customFormat="1" ht="18.5" x14ac:dyDescent="0.45">
      <c r="A7" s="150"/>
      <c r="B7" s="190"/>
      <c r="C7" s="191"/>
      <c r="D7" s="126"/>
      <c r="E7" s="125"/>
      <c r="F7" s="192"/>
      <c r="G7" s="212"/>
      <c r="H7" s="213"/>
      <c r="I7" s="213"/>
      <c r="J7" s="152"/>
      <c r="K7" s="10"/>
      <c r="L7" s="10"/>
      <c r="M7" s="10"/>
      <c r="N7" s="152"/>
      <c r="O7" s="56"/>
      <c r="P7" s="56"/>
      <c r="Q7" s="56"/>
      <c r="R7" s="56"/>
      <c r="S7" s="55"/>
    </row>
    <row r="8" spans="1:22" s="8" customFormat="1" ht="18.5" x14ac:dyDescent="0.45">
      <c r="A8" s="36"/>
      <c r="B8" s="3" t="s">
        <v>3</v>
      </c>
      <c r="C8" s="216" t="s">
        <v>8</v>
      </c>
      <c r="D8" s="217" t="s">
        <v>2</v>
      </c>
      <c r="E8" s="41" t="s">
        <v>1</v>
      </c>
      <c r="F8" s="218" t="s">
        <v>0</v>
      </c>
      <c r="G8" s="219" t="s">
        <v>25</v>
      </c>
      <c r="H8" s="219" t="s">
        <v>26</v>
      </c>
      <c r="I8" s="219" t="s">
        <v>138</v>
      </c>
      <c r="J8" s="220" t="s">
        <v>139</v>
      </c>
      <c r="K8" s="219" t="s">
        <v>25</v>
      </c>
      <c r="L8" s="219" t="s">
        <v>26</v>
      </c>
      <c r="M8" s="219" t="s">
        <v>138</v>
      </c>
      <c r="N8" s="220" t="s">
        <v>139</v>
      </c>
      <c r="O8" s="56"/>
      <c r="P8" s="56"/>
      <c r="Q8" s="56"/>
      <c r="R8" s="56"/>
      <c r="S8" s="55"/>
    </row>
    <row r="9" spans="1:22" s="8" customFormat="1" ht="21" x14ac:dyDescent="0.45">
      <c r="A9" s="36"/>
      <c r="B9" s="38"/>
      <c r="C9" s="303"/>
      <c r="D9" s="305"/>
      <c r="E9" s="306"/>
      <c r="F9" s="307"/>
      <c r="G9" s="314"/>
      <c r="H9" s="315"/>
      <c r="I9" s="315"/>
      <c r="J9" s="316"/>
      <c r="K9" s="315"/>
      <c r="L9" s="317"/>
      <c r="M9" s="317"/>
      <c r="N9" s="290" t="str">
        <f t="shared" ref="N9:N11" si="0">IF(D9=0," ",(J9*C9))</f>
        <v xml:space="preserve"> </v>
      </c>
      <c r="O9" s="19"/>
      <c r="P9" s="19"/>
      <c r="Q9" s="19"/>
      <c r="R9" s="19"/>
      <c r="S9" s="19"/>
      <c r="T9" s="6"/>
    </row>
    <row r="10" spans="1:22" s="8" customFormat="1" ht="18.5" x14ac:dyDescent="0.45">
      <c r="A10" s="36"/>
      <c r="B10" s="301" t="s">
        <v>171</v>
      </c>
      <c r="C10" s="288"/>
      <c r="D10" s="146"/>
      <c r="E10" s="289"/>
      <c r="F10" s="290"/>
      <c r="G10" s="291"/>
      <c r="H10" s="289"/>
      <c r="I10" s="289"/>
      <c r="J10" s="290"/>
      <c r="K10" s="289"/>
      <c r="L10" s="289"/>
      <c r="M10" s="289"/>
      <c r="N10" s="290" t="str">
        <f t="shared" si="0"/>
        <v xml:space="preserve"> </v>
      </c>
      <c r="O10" s="19"/>
      <c r="P10" s="19"/>
      <c r="Q10" s="19"/>
      <c r="R10" s="19"/>
      <c r="S10" s="19"/>
      <c r="T10" s="6"/>
    </row>
    <row r="11" spans="1:22" s="8" customFormat="1" ht="18.5" x14ac:dyDescent="0.45">
      <c r="A11" s="36"/>
      <c r="B11" s="38"/>
      <c r="C11" s="288"/>
      <c r="D11" s="146"/>
      <c r="E11" s="289"/>
      <c r="F11" s="290"/>
      <c r="G11" s="291"/>
      <c r="H11" s="318"/>
      <c r="I11" s="318"/>
      <c r="J11" s="319"/>
      <c r="K11" s="318"/>
      <c r="L11" s="318"/>
      <c r="M11" s="318"/>
      <c r="N11" s="290" t="str">
        <f t="shared" si="0"/>
        <v xml:space="preserve"> </v>
      </c>
      <c r="O11" s="19"/>
      <c r="P11" s="19"/>
      <c r="Q11" s="19"/>
      <c r="R11" s="19"/>
      <c r="S11" s="19"/>
      <c r="T11" s="6"/>
    </row>
    <row r="12" spans="1:22" s="8" customFormat="1" ht="18.5" x14ac:dyDescent="0.45">
      <c r="A12" s="61">
        <v>1</v>
      </c>
      <c r="B12" s="25" t="s">
        <v>219</v>
      </c>
      <c r="C12" s="288">
        <v>2</v>
      </c>
      <c r="D12" s="146" t="s">
        <v>12</v>
      </c>
      <c r="E12" s="289">
        <f>G12+H12+J12+I12</f>
        <v>316.82499999999999</v>
      </c>
      <c r="F12" s="290">
        <f>E12*C12</f>
        <v>633.65</v>
      </c>
      <c r="G12" s="291">
        <v>275.5</v>
      </c>
      <c r="H12" s="289"/>
      <c r="I12" s="289">
        <f>IF(D12=0," ",(G12)*(Details!$C$4+Details!$C$8))</f>
        <v>41.325000000000003</v>
      </c>
      <c r="J12" s="290">
        <f>IF(D12=0," ",(H12)*(Details!$C$6+Details!$C$8))</f>
        <v>0</v>
      </c>
      <c r="K12" s="291">
        <f>+G12*C12</f>
        <v>551</v>
      </c>
      <c r="L12" s="289">
        <f>+H12*C12</f>
        <v>0</v>
      </c>
      <c r="M12" s="289">
        <f>IF(D12=0," ",(I12*C12))</f>
        <v>82.65</v>
      </c>
      <c r="N12" s="290">
        <f>IF(D12=0," ",(J12*C12))</f>
        <v>0</v>
      </c>
      <c r="O12" s="19"/>
      <c r="P12" s="19"/>
      <c r="Q12" s="19"/>
      <c r="R12" s="19"/>
      <c r="S12" s="19"/>
      <c r="T12" s="6"/>
    </row>
    <row r="13" spans="1:22" s="8" customFormat="1" ht="18.5" x14ac:dyDescent="0.45">
      <c r="A13" s="61">
        <f>IF(D13&lt;&gt;"",(LARGE(A$8:A12,1)+1),"")</f>
        <v>2</v>
      </c>
      <c r="B13" s="25" t="s">
        <v>220</v>
      </c>
      <c r="C13" s="288">
        <v>7</v>
      </c>
      <c r="D13" s="146" t="s">
        <v>12</v>
      </c>
      <c r="E13" s="289">
        <f t="shared" ref="E13" si="1">G13+H13+J13+I13</f>
        <v>247.82499999999999</v>
      </c>
      <c r="F13" s="290">
        <f t="shared" ref="F13" si="2">E13*C13</f>
        <v>1734.7749999999999</v>
      </c>
      <c r="G13" s="291">
        <v>215.5</v>
      </c>
      <c r="H13" s="289"/>
      <c r="I13" s="289">
        <f>IF(D13=0," ",(G13)*(Details!$C$4+Details!$C$8))</f>
        <v>32.325000000000003</v>
      </c>
      <c r="J13" s="290">
        <f>IF(D13=0," ",(H13)*(Details!$C$6+Details!$C$8))</f>
        <v>0</v>
      </c>
      <c r="K13" s="291">
        <f t="shared" ref="K13" si="3">+G13*C13</f>
        <v>1508.5</v>
      </c>
      <c r="L13" s="289">
        <f t="shared" ref="L13" si="4">+H13*C13</f>
        <v>0</v>
      </c>
      <c r="M13" s="289">
        <f t="shared" ref="M13" si="5">IF(D13=0," ",(I13*C13))</f>
        <v>226.27500000000003</v>
      </c>
      <c r="N13" s="290">
        <f t="shared" ref="N13" si="6">IF(D13=0," ",(J13*C13))</f>
        <v>0</v>
      </c>
      <c r="O13" s="19"/>
      <c r="P13" s="19"/>
      <c r="Q13" s="19"/>
      <c r="R13" s="19"/>
      <c r="S13" s="19"/>
      <c r="T13" s="6"/>
    </row>
    <row r="14" spans="1:22" s="8" customFormat="1" ht="18.5" x14ac:dyDescent="0.45">
      <c r="A14" s="61" t="str">
        <f>IF(D14&lt;&gt;"",(LARGE(A$8:A13,1)+1),"")</f>
        <v/>
      </c>
      <c r="B14" s="148"/>
      <c r="C14" s="288"/>
      <c r="D14" s="146"/>
      <c r="E14" s="289"/>
      <c r="F14" s="290"/>
      <c r="G14" s="311"/>
      <c r="H14" s="309"/>
      <c r="I14" s="289"/>
      <c r="J14" s="290"/>
      <c r="K14" s="289"/>
      <c r="L14" s="289"/>
      <c r="M14" s="289"/>
      <c r="N14" s="290"/>
      <c r="O14" s="19"/>
      <c r="P14" s="19"/>
      <c r="Q14" s="19"/>
      <c r="R14" s="19"/>
      <c r="S14" s="19"/>
      <c r="T14" s="6"/>
    </row>
    <row r="15" spans="1:22" s="8" customFormat="1" ht="18.5" x14ac:dyDescent="0.45">
      <c r="A15" s="61" t="str">
        <f>IF(D15&lt;&gt;"",(LARGE(A$8:A14,1)+1),"")</f>
        <v/>
      </c>
      <c r="B15" s="147"/>
      <c r="C15" s="124"/>
      <c r="D15" s="38"/>
      <c r="E15" s="35"/>
      <c r="F15" s="165"/>
      <c r="G15" s="179"/>
      <c r="H15" s="7"/>
      <c r="I15" s="35" t="str">
        <f>IF(D15=0," ",(G15)*(Details!$C$4+Details!$C$8))</f>
        <v xml:space="preserve"> </v>
      </c>
      <c r="J15" s="165" t="str">
        <f>IF(D15=0," ",(H15)*(Details!$C$6+Details!$C$8))</f>
        <v xml:space="preserve"> </v>
      </c>
      <c r="K15" s="46"/>
      <c r="L15" s="35"/>
      <c r="M15" s="35"/>
      <c r="N15" s="165"/>
      <c r="O15" s="19"/>
      <c r="P15" s="19"/>
      <c r="Q15" s="19"/>
      <c r="R15" s="19"/>
      <c r="S15" s="19"/>
      <c r="T15" s="6"/>
    </row>
    <row r="16" spans="1:22" s="8" customFormat="1" ht="18" customHeight="1" thickBot="1" x14ac:dyDescent="0.5">
      <c r="A16" s="61" t="str">
        <f>IF(D16=0," ",(LARGE(A$10:A15,1)+1))</f>
        <v xml:space="preserve"> </v>
      </c>
      <c r="B16" s="148"/>
      <c r="C16" s="124"/>
      <c r="D16" s="47"/>
      <c r="E16" s="49" t="s">
        <v>81</v>
      </c>
      <c r="F16" s="166">
        <f>SUM(F9:F15)</f>
        <v>2368.4249999999997</v>
      </c>
      <c r="G16" s="179"/>
      <c r="H16" s="7"/>
      <c r="I16" s="7"/>
      <c r="J16" s="165" t="str">
        <f>IF(D16=0," ",(G16+H16)*(Details!$C$4+Details!$C$6))</f>
        <v xml:space="preserve"> </v>
      </c>
      <c r="K16" s="207">
        <f>SUM(K9:K15)</f>
        <v>2059.5</v>
      </c>
      <c r="L16" s="208">
        <f>SUM(L9:L15)</f>
        <v>0</v>
      </c>
      <c r="M16" s="208">
        <f>SUM(M9:M15)</f>
        <v>308.92500000000007</v>
      </c>
      <c r="N16" s="166">
        <f>SUM(N9:N15)</f>
        <v>0</v>
      </c>
      <c r="O16" s="56"/>
      <c r="P16" s="56"/>
      <c r="Q16" s="56"/>
      <c r="R16" s="56"/>
      <c r="S16" s="56"/>
      <c r="T16" s="56"/>
    </row>
    <row r="17" spans="1:22" s="8" customFormat="1" ht="19.5" thickTop="1" thickBot="1" x14ac:dyDescent="0.5">
      <c r="A17" s="37"/>
      <c r="B17" s="149"/>
      <c r="C17" s="136"/>
      <c r="D17" s="50"/>
      <c r="E17" s="52"/>
      <c r="F17" s="167"/>
      <c r="G17" s="180"/>
      <c r="H17" s="43"/>
      <c r="I17" s="43"/>
      <c r="J17" s="54" t="str">
        <f>IF(D17=0," ",(G17+H17)*(Details!$C$4+Details!$C$6))</f>
        <v xml:space="preserve"> </v>
      </c>
      <c r="K17" s="43"/>
      <c r="L17" s="43"/>
      <c r="M17" s="43"/>
      <c r="N17" s="151"/>
      <c r="O17" s="56"/>
      <c r="P17" s="56"/>
      <c r="Q17" s="56"/>
      <c r="R17" s="56"/>
      <c r="S17" s="56"/>
      <c r="T17" s="57"/>
    </row>
    <row r="18" spans="1:22" s="8" customFormat="1" x14ac:dyDescent="0.35">
      <c r="A18" s="6"/>
      <c r="B18" s="6"/>
      <c r="C18" s="19"/>
      <c r="D18" s="6"/>
      <c r="E18" s="7"/>
      <c r="F18" s="7"/>
      <c r="G18" s="7"/>
      <c r="H18" s="7"/>
      <c r="I18" s="7"/>
      <c r="J18" s="6"/>
      <c r="K18" s="6"/>
      <c r="L18" s="6"/>
      <c r="M18" s="6"/>
      <c r="N18" s="6"/>
      <c r="O18" s="56"/>
      <c r="P18" s="56"/>
      <c r="Q18" s="56"/>
      <c r="R18" s="56"/>
      <c r="S18" s="56"/>
      <c r="T18" s="57"/>
      <c r="U18" s="6"/>
      <c r="V18" s="6"/>
    </row>
    <row r="19" spans="1:22" s="8" customFormat="1" x14ac:dyDescent="0.35">
      <c r="A19" s="6"/>
      <c r="B19" s="6"/>
      <c r="C19" s="19"/>
      <c r="D19" s="6"/>
      <c r="E19" s="7"/>
      <c r="F19" s="7"/>
      <c r="G19" s="7"/>
      <c r="H19" s="7"/>
      <c r="I19" s="7"/>
      <c r="J19" s="6"/>
      <c r="K19" s="6"/>
      <c r="L19" s="6"/>
      <c r="M19" s="6"/>
      <c r="N19" s="6"/>
      <c r="O19" s="56"/>
      <c r="P19" s="56"/>
      <c r="Q19" s="56"/>
      <c r="R19" s="56"/>
      <c r="S19" s="19"/>
      <c r="T19" s="6"/>
      <c r="U19" s="6"/>
      <c r="V19" s="6"/>
    </row>
    <row r="20" spans="1:22" s="8" customFormat="1" x14ac:dyDescent="0.35">
      <c r="A20" s="6"/>
      <c r="B20" s="6"/>
      <c r="C20" s="19"/>
      <c r="D20" s="6"/>
      <c r="E20" s="7"/>
      <c r="F20" s="7"/>
      <c r="G20" s="7"/>
      <c r="H20" s="7"/>
      <c r="I20" s="7"/>
      <c r="J20" s="6"/>
      <c r="K20" s="6"/>
      <c r="L20" s="6"/>
      <c r="M20" s="6"/>
      <c r="N20" s="6"/>
      <c r="O20" s="56"/>
      <c r="P20" s="56"/>
      <c r="Q20" s="56"/>
      <c r="R20" s="56"/>
      <c r="S20" s="19"/>
      <c r="T20" s="6"/>
      <c r="U20" s="6"/>
      <c r="V20" s="6"/>
    </row>
    <row r="21" spans="1:22" s="8" customFormat="1" x14ac:dyDescent="0.35">
      <c r="A21" s="6"/>
      <c r="B21" s="6"/>
      <c r="C21" s="19"/>
      <c r="D21" s="6"/>
      <c r="E21" s="7"/>
      <c r="F21" s="7"/>
      <c r="G21" s="7"/>
      <c r="H21" s="7"/>
      <c r="I21" s="7"/>
      <c r="J21" s="6"/>
      <c r="K21" s="6"/>
      <c r="L21" s="6"/>
      <c r="M21" s="6"/>
      <c r="N21" s="6"/>
      <c r="O21" s="56"/>
      <c r="P21" s="56"/>
      <c r="Q21" s="56"/>
      <c r="R21" s="56"/>
      <c r="S21" s="19"/>
      <c r="T21" s="6"/>
      <c r="U21" s="6"/>
      <c r="V21" s="6"/>
    </row>
  </sheetData>
  <mergeCells count="2">
    <mergeCell ref="K6:N6"/>
    <mergeCell ref="G6:J6"/>
  </mergeCells>
  <conditionalFormatting sqref="G9:G10424">
    <cfRule type="notContainsBlanks" dxfId="51" priority="1">
      <formula>LEN(TRIM(G9))&gt;0</formula>
    </cfRule>
  </conditionalFormatting>
  <conditionalFormatting sqref="H9:I11 H12:H15">
    <cfRule type="notContainsBlanks" dxfId="50" priority="2">
      <formula>LEN(TRIM(H9))&gt;0</formula>
    </cfRule>
  </conditionalFormatting>
  <conditionalFormatting sqref="I14 H16:I10514">
    <cfRule type="notContainsBlanks" dxfId="49" priority="51">
      <formula>LEN(TRIM(H14))&gt;0</formula>
    </cfRule>
  </conditionalFormatting>
  <dataValidations disablePrompts="1" count="1">
    <dataValidation type="list" allowBlank="1" showInputMessage="1" showErrorMessage="1" sqref="P2:Q2" xr:uid="{00000000-0002-0000-0800-000000000000}">
      <formula1>"UPVC,Aluminium,Timber,Composite,Crittall, Multiple"</formula1>
    </dataValidation>
  </dataValidations>
  <printOptions horizontalCentered="1"/>
  <pageMargins left="0.70866141732283461" right="0.70866141732283461" top="0.31496062992125984" bottom="0.62992125984251968" header="0.31496062992125984" footer="0.31496062992125984"/>
  <pageSetup paperSize="9" scale="37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1">
    <pageSetUpPr fitToPage="1"/>
  </sheetPr>
  <dimension ref="A1:P70"/>
  <sheetViews>
    <sheetView view="pageBreakPreview" topLeftCell="A16" zoomScale="55" zoomScaleNormal="55" zoomScaleSheetLayoutView="55" workbookViewId="0">
      <selection activeCell="L69" sqref="L69"/>
    </sheetView>
  </sheetViews>
  <sheetFormatPr defaultColWidth="9.08984375" defaultRowHeight="15.5" x14ac:dyDescent="0.35"/>
  <cols>
    <col min="1" max="1" width="5.453125" style="6" customWidth="1"/>
    <col min="2" max="2" width="80.81640625" style="8" customWidth="1"/>
    <col min="3" max="3" width="12.453125" style="19" customWidth="1"/>
    <col min="4" max="4" width="8.6328125" style="6" customWidth="1"/>
    <col min="5" max="6" width="15.6328125" style="7" customWidth="1"/>
    <col min="7" max="9" width="14.36328125" style="7" customWidth="1"/>
    <col min="10" max="10" width="14.36328125" style="6" customWidth="1"/>
    <col min="11" max="13" width="15.6328125" style="7" customWidth="1"/>
    <col min="14" max="14" width="15.6328125" style="6" customWidth="1"/>
    <col min="15" max="16384" width="9.08984375" style="6"/>
  </cols>
  <sheetData>
    <row r="1" spans="1:14" x14ac:dyDescent="0.35">
      <c r="A1" s="16"/>
      <c r="B1" s="10"/>
      <c r="C1" s="18"/>
      <c r="D1" s="11"/>
      <c r="E1" s="20"/>
      <c r="F1" s="21"/>
      <c r="G1" s="20"/>
      <c r="H1" s="20"/>
      <c r="I1" s="20"/>
      <c r="J1" s="11"/>
    </row>
    <row r="2" spans="1:14" x14ac:dyDescent="0.35">
      <c r="A2" s="5"/>
      <c r="B2" s="3" t="str">
        <f>+'Qual, Excl &amp; Assum'!B2</f>
        <v>PROJECT: ALTERATIONS TO 41 GREENSIDE STREET ROSEMARKIE, IV10 8AG</v>
      </c>
      <c r="F2" s="22"/>
    </row>
    <row r="3" spans="1:14" x14ac:dyDescent="0.35">
      <c r="A3" s="5"/>
      <c r="B3" s="40" t="str">
        <f>+'Qual, Excl &amp; Assum'!B3</f>
        <v>DATE: 20TH NOVEMBER 2025</v>
      </c>
      <c r="F3" s="22"/>
    </row>
    <row r="4" spans="1:14" s="8" customFormat="1" ht="16" thickBot="1" x14ac:dyDescent="0.4">
      <c r="A4" s="5"/>
      <c r="B4" s="9"/>
      <c r="C4" s="19"/>
      <c r="E4" s="23"/>
      <c r="F4" s="24"/>
      <c r="G4" s="23"/>
      <c r="H4" s="23"/>
      <c r="I4" s="23"/>
      <c r="K4" s="7"/>
      <c r="L4" s="7"/>
      <c r="M4" s="7"/>
    </row>
    <row r="5" spans="1:14" s="8" customFormat="1" ht="38.25" customHeight="1" thickBot="1" x14ac:dyDescent="0.4">
      <c r="A5" s="172"/>
      <c r="B5" s="173" t="s">
        <v>22</v>
      </c>
      <c r="C5" s="174"/>
      <c r="D5" s="175"/>
      <c r="E5" s="176"/>
      <c r="F5" s="181"/>
      <c r="G5" s="367" t="s">
        <v>104</v>
      </c>
      <c r="H5" s="367"/>
      <c r="I5" s="367"/>
      <c r="J5" s="368"/>
      <c r="K5" s="366" t="s">
        <v>105</v>
      </c>
      <c r="L5" s="367"/>
      <c r="M5" s="367"/>
      <c r="N5" s="368"/>
    </row>
    <row r="6" spans="1:14" s="8" customFormat="1" ht="18.5" x14ac:dyDescent="0.45">
      <c r="A6" s="36"/>
      <c r="B6" s="25"/>
      <c r="C6" s="124"/>
      <c r="D6" s="25"/>
      <c r="E6" s="51"/>
      <c r="F6" s="163"/>
      <c r="G6" s="51"/>
      <c r="H6" s="51"/>
      <c r="I6" s="51"/>
      <c r="J6" s="168"/>
      <c r="K6" s="179"/>
      <c r="L6" s="7"/>
      <c r="M6" s="7"/>
      <c r="N6" s="14"/>
    </row>
    <row r="7" spans="1:14" s="8" customFormat="1" ht="18.5" x14ac:dyDescent="0.45">
      <c r="A7" s="36"/>
      <c r="B7" s="3" t="s">
        <v>3</v>
      </c>
      <c r="C7" s="216" t="s">
        <v>8</v>
      </c>
      <c r="D7" s="217" t="s">
        <v>2</v>
      </c>
      <c r="E7" s="41" t="s">
        <v>1</v>
      </c>
      <c r="F7" s="218" t="s">
        <v>0</v>
      </c>
      <c r="G7" s="219" t="s">
        <v>25</v>
      </c>
      <c r="H7" s="219" t="s">
        <v>26</v>
      </c>
      <c r="I7" s="219" t="s">
        <v>138</v>
      </c>
      <c r="J7" s="220" t="s">
        <v>139</v>
      </c>
      <c r="K7" s="219" t="s">
        <v>25</v>
      </c>
      <c r="L7" s="219" t="s">
        <v>26</v>
      </c>
      <c r="M7" s="219" t="s">
        <v>138</v>
      </c>
      <c r="N7" s="220" t="s">
        <v>139</v>
      </c>
    </row>
    <row r="8" spans="1:14" s="8" customFormat="1" ht="18.5" x14ac:dyDescent="0.45">
      <c r="A8" s="36"/>
      <c r="B8" s="137"/>
      <c r="C8" s="303"/>
      <c r="D8" s="305"/>
      <c r="E8" s="306"/>
      <c r="F8" s="307"/>
      <c r="G8" s="291"/>
      <c r="H8" s="289"/>
      <c r="I8" s="289"/>
      <c r="J8" s="308"/>
      <c r="K8" s="311"/>
      <c r="L8" s="309"/>
      <c r="M8" s="309"/>
      <c r="N8" s="290" t="str">
        <f t="shared" ref="N8" si="0">IF(D8=0," ",(J8*C8))</f>
        <v xml:space="preserve"> </v>
      </c>
    </row>
    <row r="9" spans="1:14" s="8" customFormat="1" ht="18.5" x14ac:dyDescent="0.45">
      <c r="A9" s="36"/>
      <c r="B9" s="301" t="s">
        <v>19</v>
      </c>
      <c r="C9" s="303"/>
      <c r="D9" s="305"/>
      <c r="E9" s="306"/>
      <c r="F9" s="307"/>
      <c r="G9" s="291"/>
      <c r="H9" s="289"/>
      <c r="I9" s="289"/>
      <c r="J9" s="308"/>
      <c r="K9" s="311"/>
      <c r="L9" s="309"/>
      <c r="M9" s="309"/>
      <c r="N9" s="290"/>
    </row>
    <row r="10" spans="1:14" s="8" customFormat="1" ht="18.5" x14ac:dyDescent="0.45">
      <c r="A10" s="36"/>
      <c r="B10" s="137"/>
      <c r="C10" s="303"/>
      <c r="D10" s="305"/>
      <c r="E10" s="306"/>
      <c r="F10" s="307"/>
      <c r="G10" s="291"/>
      <c r="H10" s="289"/>
      <c r="I10" s="289"/>
      <c r="J10" s="308"/>
      <c r="K10" s="311"/>
      <c r="L10" s="309"/>
      <c r="M10" s="309"/>
      <c r="N10" s="290"/>
    </row>
    <row r="11" spans="1:14" s="8" customFormat="1" ht="18.5" x14ac:dyDescent="0.45">
      <c r="A11" s="61" t="str">
        <f>IF(F11&lt;&gt;"",(LARGE(A$7:A8,1)+1),"")</f>
        <v/>
      </c>
      <c r="B11" s="293" t="s">
        <v>221</v>
      </c>
      <c r="C11" s="288">
        <v>21</v>
      </c>
      <c r="D11" s="146" t="s">
        <v>13</v>
      </c>
      <c r="E11" s="289"/>
      <c r="F11" s="290"/>
      <c r="G11" s="291"/>
      <c r="H11" s="289"/>
      <c r="I11" s="289"/>
      <c r="J11" s="290"/>
      <c r="K11" s="311"/>
      <c r="L11" s="309"/>
      <c r="M11" s="309"/>
      <c r="N11" s="290"/>
    </row>
    <row r="12" spans="1:14" s="8" customFormat="1" ht="18.5" x14ac:dyDescent="0.45">
      <c r="A12" s="61"/>
      <c r="B12" s="130"/>
      <c r="C12" s="288"/>
      <c r="D12" s="146"/>
      <c r="E12" s="289"/>
      <c r="F12" s="290"/>
      <c r="G12" s="291"/>
      <c r="H12" s="289"/>
      <c r="I12" s="289"/>
      <c r="J12" s="290"/>
      <c r="K12" s="311"/>
      <c r="L12" s="309"/>
      <c r="M12" s="309"/>
      <c r="N12" s="290"/>
    </row>
    <row r="13" spans="1:14" s="8" customFormat="1" ht="18.5" x14ac:dyDescent="0.45">
      <c r="A13" s="61">
        <v>1</v>
      </c>
      <c r="B13" s="130" t="s">
        <v>222</v>
      </c>
      <c r="C13" s="304">
        <f>C11/(0.4*2.74)</f>
        <v>19.160583941605839</v>
      </c>
      <c r="D13" s="146" t="s">
        <v>13</v>
      </c>
      <c r="E13" s="289">
        <f t="shared" ref="E13:E17" si="1">G13+H13+J13+I13</f>
        <v>26.113624999999999</v>
      </c>
      <c r="F13" s="290">
        <f t="shared" ref="F13:F17" si="2">E13*C13</f>
        <v>500.35230383211677</v>
      </c>
      <c r="G13" s="291">
        <v>7.2075000000000005</v>
      </c>
      <c r="H13" s="289">
        <v>15.5</v>
      </c>
      <c r="I13" s="289">
        <f>IF(D13=0," ",(G13)*(Details!$C$4+Details!$C$8))</f>
        <v>1.0811250000000003</v>
      </c>
      <c r="J13" s="290">
        <f>IF(D13=0," ",(H13)*(Details!$C$6+Details!$C$8))</f>
        <v>2.3250000000000002</v>
      </c>
      <c r="K13" s="291">
        <f t="shared" ref="K13:K17" si="3">+G13*C13</f>
        <v>138.09990875912411</v>
      </c>
      <c r="L13" s="289">
        <f t="shared" ref="L13:L17" si="4">+H13*C13</f>
        <v>296.9890510948905</v>
      </c>
      <c r="M13" s="289">
        <f t="shared" ref="M13:M17" si="5">IF(D13=0," ",(I13*C13))</f>
        <v>20.714986313868618</v>
      </c>
      <c r="N13" s="290">
        <f t="shared" ref="N13:N17" si="6">IF(D13=0," ",(J13*C13))</f>
        <v>44.548357664233578</v>
      </c>
    </row>
    <row r="14" spans="1:14" s="8" customFormat="1" ht="18.5" x14ac:dyDescent="0.45">
      <c r="A14" s="61">
        <f>IF(F14&lt;&gt;"",(LARGE(A$7:A13,1)+1),"")</f>
        <v>2</v>
      </c>
      <c r="B14" s="130" t="s">
        <v>172</v>
      </c>
      <c r="C14" s="304">
        <f>C11*2</f>
        <v>42</v>
      </c>
      <c r="D14" s="146" t="s">
        <v>13</v>
      </c>
      <c r="E14" s="289">
        <f t="shared" si="1"/>
        <v>26.113624999999999</v>
      </c>
      <c r="F14" s="290">
        <f t="shared" si="2"/>
        <v>1096.77225</v>
      </c>
      <c r="G14" s="291">
        <v>7.2075000000000005</v>
      </c>
      <c r="H14" s="289">
        <v>15.5</v>
      </c>
      <c r="I14" s="289">
        <f>IF(D14=0," ",(G14)*(Details!$C$4+Details!$C$8))</f>
        <v>1.0811250000000003</v>
      </c>
      <c r="J14" s="290">
        <f>IF(D14=0," ",(H14)*(Details!$C$6+Details!$C$8))</f>
        <v>2.3250000000000002</v>
      </c>
      <c r="K14" s="291">
        <f t="shared" si="3"/>
        <v>302.71500000000003</v>
      </c>
      <c r="L14" s="289">
        <f t="shared" si="4"/>
        <v>651</v>
      </c>
      <c r="M14" s="289">
        <f t="shared" si="5"/>
        <v>45.407250000000012</v>
      </c>
      <c r="N14" s="290">
        <f t="shared" si="6"/>
        <v>97.65</v>
      </c>
    </row>
    <row r="15" spans="1:14" s="8" customFormat="1" ht="18.5" x14ac:dyDescent="0.45">
      <c r="A15" s="61">
        <f>IF(F15&lt;&gt;"",(LARGE(A$7:A14,1)+1),"")</f>
        <v>3</v>
      </c>
      <c r="B15" s="130" t="s">
        <v>173</v>
      </c>
      <c r="C15" s="304">
        <f>C11*1</f>
        <v>21</v>
      </c>
      <c r="D15" s="146" t="s">
        <v>13</v>
      </c>
      <c r="E15" s="289">
        <f t="shared" si="1"/>
        <v>26.113624999999999</v>
      </c>
      <c r="F15" s="290">
        <f t="shared" si="2"/>
        <v>548.38612499999999</v>
      </c>
      <c r="G15" s="291">
        <v>7.2075000000000005</v>
      </c>
      <c r="H15" s="289">
        <v>15.5</v>
      </c>
      <c r="I15" s="289">
        <f>IF(D15=0," ",(G15)*(Details!$C$4+Details!$C$8))</f>
        <v>1.0811250000000003</v>
      </c>
      <c r="J15" s="290">
        <f>IF(D15=0," ",(H15)*(Details!$C$6+Details!$C$8))</f>
        <v>2.3250000000000002</v>
      </c>
      <c r="K15" s="291">
        <f t="shared" si="3"/>
        <v>151.35750000000002</v>
      </c>
      <c r="L15" s="289">
        <f t="shared" si="4"/>
        <v>325.5</v>
      </c>
      <c r="M15" s="289">
        <f t="shared" si="5"/>
        <v>22.703625000000006</v>
      </c>
      <c r="N15" s="290">
        <f t="shared" si="6"/>
        <v>48.825000000000003</v>
      </c>
    </row>
    <row r="16" spans="1:14" s="8" customFormat="1" ht="18.5" x14ac:dyDescent="0.45">
      <c r="A16" s="61">
        <f>IF(F16&lt;&gt;"",(LARGE(A$7:A15,1)+1),"")</f>
        <v>4</v>
      </c>
      <c r="B16" s="130" t="s">
        <v>223</v>
      </c>
      <c r="C16" s="304">
        <f>C11*2.74</f>
        <v>57.540000000000006</v>
      </c>
      <c r="D16" s="146" t="s">
        <v>10</v>
      </c>
      <c r="E16" s="289">
        <f t="shared" si="1"/>
        <v>22.322937499999998</v>
      </c>
      <c r="F16" s="290">
        <f t="shared" si="2"/>
        <v>1284.4618237500001</v>
      </c>
      <c r="G16" s="291">
        <v>6.1612499999999999</v>
      </c>
      <c r="H16" s="289">
        <v>13.25</v>
      </c>
      <c r="I16" s="289">
        <f>IF(D16=0," ",(G16)*(Details!$C$4+Details!$C$8))</f>
        <v>0.92418750000000016</v>
      </c>
      <c r="J16" s="290">
        <f>IF(D16=0," ",(H16)*(Details!$C$6+Details!$C$8))</f>
        <v>1.9875000000000003</v>
      </c>
      <c r="K16" s="291">
        <f t="shared" si="3"/>
        <v>354.518325</v>
      </c>
      <c r="L16" s="289">
        <f t="shared" si="4"/>
        <v>762.40500000000009</v>
      </c>
      <c r="M16" s="289">
        <f t="shared" si="5"/>
        <v>53.177748750000013</v>
      </c>
      <c r="N16" s="290">
        <f t="shared" si="6"/>
        <v>114.36075000000002</v>
      </c>
    </row>
    <row r="17" spans="1:14" s="8" customFormat="1" ht="18.5" x14ac:dyDescent="0.45">
      <c r="A17" s="61">
        <f>IF(F17&lt;&gt;"",(LARGE(A$7:A16,1)+1),"")</f>
        <v>5</v>
      </c>
      <c r="B17" s="130" t="s">
        <v>224</v>
      </c>
      <c r="C17" s="304">
        <f>C11*4</f>
        <v>84</v>
      </c>
      <c r="D17" s="146" t="s">
        <v>13</v>
      </c>
      <c r="E17" s="289">
        <f t="shared" si="1"/>
        <v>12.8883375</v>
      </c>
      <c r="F17" s="290">
        <f t="shared" si="2"/>
        <v>1082.6203500000001</v>
      </c>
      <c r="G17" s="291">
        <v>3.5572500000000002</v>
      </c>
      <c r="H17" s="289">
        <v>7.65</v>
      </c>
      <c r="I17" s="289">
        <f>IF(D17=0," ",(G17)*(Details!$C$4+Details!$C$8))</f>
        <v>0.5335875000000001</v>
      </c>
      <c r="J17" s="290">
        <f>IF(D17=0," ",(H17)*(Details!$C$6+Details!$C$8))</f>
        <v>1.1475000000000002</v>
      </c>
      <c r="K17" s="291">
        <f t="shared" si="3"/>
        <v>298.80900000000003</v>
      </c>
      <c r="L17" s="289">
        <f t="shared" si="4"/>
        <v>642.6</v>
      </c>
      <c r="M17" s="289">
        <f t="shared" si="5"/>
        <v>44.82135000000001</v>
      </c>
      <c r="N17" s="290">
        <f t="shared" si="6"/>
        <v>96.390000000000015</v>
      </c>
    </row>
    <row r="18" spans="1:14" s="8" customFormat="1" ht="18.5" x14ac:dyDescent="0.45">
      <c r="A18" s="61" t="str">
        <f>IF(F18&lt;&gt;"",(LARGE(A$7:A17,1)+1),"")</f>
        <v/>
      </c>
      <c r="B18" s="130"/>
      <c r="C18" s="288"/>
      <c r="D18" s="310"/>
      <c r="E18" s="289"/>
      <c r="F18" s="290"/>
      <c r="G18" s="291"/>
      <c r="H18" s="289"/>
      <c r="I18" s="289"/>
      <c r="J18" s="290"/>
      <c r="K18" s="291"/>
      <c r="L18" s="289"/>
      <c r="M18" s="289"/>
      <c r="N18" s="290"/>
    </row>
    <row r="19" spans="1:14" s="8" customFormat="1" ht="18.5" x14ac:dyDescent="0.45">
      <c r="A19" s="61" t="str">
        <f>IF(F19&lt;&gt;"",(LARGE(A$7:A18,1)+1),"")</f>
        <v/>
      </c>
      <c r="B19" s="293" t="s">
        <v>225</v>
      </c>
      <c r="C19" s="288">
        <v>7</v>
      </c>
      <c r="D19" s="310"/>
      <c r="E19" s="289"/>
      <c r="F19" s="290"/>
      <c r="G19" s="291"/>
      <c r="H19" s="289"/>
      <c r="I19" s="289"/>
      <c r="J19" s="290"/>
      <c r="K19" s="291"/>
      <c r="L19" s="289"/>
      <c r="M19" s="289"/>
      <c r="N19" s="290"/>
    </row>
    <row r="20" spans="1:14" s="8" customFormat="1" ht="18.5" x14ac:dyDescent="0.45">
      <c r="A20" s="61" t="str">
        <f>IF(F20&lt;&gt;"",(LARGE(A$7:A19,1)+1),"")</f>
        <v/>
      </c>
      <c r="B20" s="130"/>
      <c r="C20" s="288"/>
      <c r="D20" s="310"/>
      <c r="E20" s="289"/>
      <c r="F20" s="290"/>
      <c r="G20" s="291"/>
      <c r="H20" s="289"/>
      <c r="I20" s="289"/>
      <c r="J20" s="290"/>
      <c r="K20" s="291"/>
      <c r="L20" s="289"/>
      <c r="M20" s="289"/>
      <c r="N20" s="290"/>
    </row>
    <row r="21" spans="1:14" s="8" customFormat="1" ht="18.5" x14ac:dyDescent="0.45">
      <c r="A21" s="61">
        <f>IF(F21&lt;&gt;"",(LARGE(A$7:A20,1)+1),"")</f>
        <v>6</v>
      </c>
      <c r="B21" s="130" t="s">
        <v>222</v>
      </c>
      <c r="C21" s="304">
        <f>C19/(0.4*2.74)</f>
        <v>6.3868613138686126</v>
      </c>
      <c r="D21" s="146" t="s">
        <v>13</v>
      </c>
      <c r="E21" s="289">
        <f t="shared" ref="E21:E26" si="7">G21+H21+J21+I21</f>
        <v>26.113624999999999</v>
      </c>
      <c r="F21" s="290">
        <f t="shared" ref="F21:F26" si="8">E21*C21</f>
        <v>166.78410127737223</v>
      </c>
      <c r="G21" s="291">
        <v>7.2075000000000005</v>
      </c>
      <c r="H21" s="289">
        <v>15.5</v>
      </c>
      <c r="I21" s="289">
        <f>IF(D21=0," ",(G21)*(Details!$C$4+Details!$C$8))</f>
        <v>1.0811250000000003</v>
      </c>
      <c r="J21" s="290">
        <f>IF(D21=0," ",(H21)*(Details!$C$6+Details!$C$8))</f>
        <v>2.3250000000000002</v>
      </c>
      <c r="K21" s="291">
        <f t="shared" ref="K21:K26" si="9">+G21*C21</f>
        <v>46.033302919708028</v>
      </c>
      <c r="L21" s="289">
        <f t="shared" ref="L21:L26" si="10">+H21*C21</f>
        <v>98.99635036496349</v>
      </c>
      <c r="M21" s="289">
        <f t="shared" ref="M21:M26" si="11">IF(D21=0," ",(I21*C21))</f>
        <v>6.904995437956206</v>
      </c>
      <c r="N21" s="290">
        <f t="shared" ref="N21:N26" si="12">IF(D21=0," ",(J21*C21))</f>
        <v>14.849452554744525</v>
      </c>
    </row>
    <row r="22" spans="1:14" s="8" customFormat="1" ht="18.5" x14ac:dyDescent="0.45">
      <c r="A22" s="61">
        <f>IF(F22&lt;&gt;"",(LARGE(A$7:A21,1)+1),"")</f>
        <v>7</v>
      </c>
      <c r="B22" s="130" t="s">
        <v>172</v>
      </c>
      <c r="C22" s="304">
        <f>C19*2</f>
        <v>14</v>
      </c>
      <c r="D22" s="146" t="s">
        <v>13</v>
      </c>
      <c r="E22" s="289">
        <f t="shared" si="7"/>
        <v>26.113624999999999</v>
      </c>
      <c r="F22" s="290">
        <f t="shared" si="8"/>
        <v>365.59074999999996</v>
      </c>
      <c r="G22" s="291">
        <v>7.2075000000000005</v>
      </c>
      <c r="H22" s="289">
        <v>15.5</v>
      </c>
      <c r="I22" s="289">
        <f>IF(D22=0," ",(G22)*(Details!$C$4+Details!$C$8))</f>
        <v>1.0811250000000003</v>
      </c>
      <c r="J22" s="290">
        <f>IF(D22=0," ",(H22)*(Details!$C$6+Details!$C$8))</f>
        <v>2.3250000000000002</v>
      </c>
      <c r="K22" s="291">
        <f t="shared" si="9"/>
        <v>100.905</v>
      </c>
      <c r="L22" s="289">
        <f t="shared" si="10"/>
        <v>217</v>
      </c>
      <c r="M22" s="289">
        <f t="shared" si="11"/>
        <v>15.135750000000005</v>
      </c>
      <c r="N22" s="290">
        <f t="shared" si="12"/>
        <v>32.550000000000004</v>
      </c>
    </row>
    <row r="23" spans="1:14" s="8" customFormat="1" ht="18.5" x14ac:dyDescent="0.45">
      <c r="A23" s="61">
        <f>IF(F23&lt;&gt;"",(LARGE(A$7:A22,1)+1),"")</f>
        <v>8</v>
      </c>
      <c r="B23" s="130" t="s">
        <v>173</v>
      </c>
      <c r="C23" s="304">
        <f>C19*1</f>
        <v>7</v>
      </c>
      <c r="D23" s="146" t="s">
        <v>13</v>
      </c>
      <c r="E23" s="289">
        <f t="shared" si="7"/>
        <v>26.113624999999999</v>
      </c>
      <c r="F23" s="290">
        <f t="shared" si="8"/>
        <v>182.79537499999998</v>
      </c>
      <c r="G23" s="291">
        <v>7.2075000000000005</v>
      </c>
      <c r="H23" s="289">
        <v>15.5</v>
      </c>
      <c r="I23" s="289">
        <f>IF(D23=0," ",(G23)*(Details!$C$4+Details!$C$8))</f>
        <v>1.0811250000000003</v>
      </c>
      <c r="J23" s="290">
        <f>IF(D23=0," ",(H23)*(Details!$C$6+Details!$C$8))</f>
        <v>2.3250000000000002</v>
      </c>
      <c r="K23" s="291">
        <f t="shared" si="9"/>
        <v>50.452500000000001</v>
      </c>
      <c r="L23" s="289">
        <f t="shared" si="10"/>
        <v>108.5</v>
      </c>
      <c r="M23" s="289">
        <f t="shared" si="11"/>
        <v>7.5678750000000026</v>
      </c>
      <c r="N23" s="290">
        <f t="shared" si="12"/>
        <v>16.275000000000002</v>
      </c>
    </row>
    <row r="24" spans="1:14" s="8" customFormat="1" ht="18.5" x14ac:dyDescent="0.45">
      <c r="A24" s="61">
        <f>IF(F24&lt;&gt;"",(LARGE(A$7:A23,1)+1),"")</f>
        <v>9</v>
      </c>
      <c r="B24" s="130" t="s">
        <v>223</v>
      </c>
      <c r="C24" s="304">
        <f>C19*2.74</f>
        <v>19.18</v>
      </c>
      <c r="D24" s="146" t="s">
        <v>10</v>
      </c>
      <c r="E24" s="289">
        <f t="shared" si="7"/>
        <v>22.322937499999998</v>
      </c>
      <c r="F24" s="290">
        <f t="shared" si="8"/>
        <v>428.15394124999995</v>
      </c>
      <c r="G24" s="291">
        <v>6.1612499999999999</v>
      </c>
      <c r="H24" s="289">
        <v>13.25</v>
      </c>
      <c r="I24" s="289">
        <f>IF(D24=0," ",(G24)*(Details!$C$4+Details!$C$8))</f>
        <v>0.92418750000000016</v>
      </c>
      <c r="J24" s="290">
        <f>IF(D24=0," ",(H24)*(Details!$C$6+Details!$C$8))</f>
        <v>1.9875000000000003</v>
      </c>
      <c r="K24" s="291">
        <f t="shared" si="9"/>
        <v>118.172775</v>
      </c>
      <c r="L24" s="289">
        <f t="shared" si="10"/>
        <v>254.13499999999999</v>
      </c>
      <c r="M24" s="289">
        <f t="shared" si="11"/>
        <v>17.725916250000004</v>
      </c>
      <c r="N24" s="290">
        <f t="shared" si="12"/>
        <v>38.120250000000006</v>
      </c>
    </row>
    <row r="25" spans="1:14" s="8" customFormat="1" ht="18.5" x14ac:dyDescent="0.45">
      <c r="A25" s="61">
        <f>IF(F25&lt;&gt;"",(LARGE(A$7:A24,1)+1),"")</f>
        <v>10</v>
      </c>
      <c r="B25" s="130" t="s">
        <v>226</v>
      </c>
      <c r="C25" s="304">
        <f>C19*2.74</f>
        <v>19.18</v>
      </c>
      <c r="D25" s="146" t="s">
        <v>10</v>
      </c>
      <c r="E25" s="289">
        <f t="shared" si="7"/>
        <v>14.320375</v>
      </c>
      <c r="F25" s="290">
        <f t="shared" si="8"/>
        <v>274.66479249999998</v>
      </c>
      <c r="G25" s="291">
        <v>3.9525000000000001</v>
      </c>
      <c r="H25" s="289">
        <v>8.5</v>
      </c>
      <c r="I25" s="289">
        <f>IF(D25=0," ",(G25)*(Details!$C$4+Details!$C$8))</f>
        <v>0.59287500000000015</v>
      </c>
      <c r="J25" s="290">
        <f>IF(D25=0," ",(H25)*(Details!$C$6+Details!$C$8))</f>
        <v>1.2750000000000001</v>
      </c>
      <c r="K25" s="291">
        <f t="shared" si="9"/>
        <v>75.808949999999996</v>
      </c>
      <c r="L25" s="289">
        <f t="shared" si="10"/>
        <v>163.03</v>
      </c>
      <c r="M25" s="289">
        <f t="shared" si="11"/>
        <v>11.371342500000003</v>
      </c>
      <c r="N25" s="290">
        <f t="shared" si="12"/>
        <v>24.454500000000003</v>
      </c>
    </row>
    <row r="26" spans="1:14" s="8" customFormat="1" ht="18.5" x14ac:dyDescent="0.45">
      <c r="A26" s="61">
        <f>IF(F26&lt;&gt;"",(LARGE(A$7:A25,1)+1),"")</f>
        <v>11</v>
      </c>
      <c r="B26" s="130" t="s">
        <v>224</v>
      </c>
      <c r="C26" s="304">
        <f>C19*4</f>
        <v>28</v>
      </c>
      <c r="D26" s="146" t="s">
        <v>13</v>
      </c>
      <c r="E26" s="289">
        <f t="shared" si="7"/>
        <v>12.8883375</v>
      </c>
      <c r="F26" s="290">
        <f t="shared" si="8"/>
        <v>360.87344999999999</v>
      </c>
      <c r="G26" s="291">
        <v>3.5572500000000002</v>
      </c>
      <c r="H26" s="289">
        <v>7.65</v>
      </c>
      <c r="I26" s="289">
        <f>IF(D26=0," ",(G26)*(Details!$C$4+Details!$C$8))</f>
        <v>0.5335875000000001</v>
      </c>
      <c r="J26" s="290">
        <f>IF(D26=0," ",(H26)*(Details!$C$6+Details!$C$8))</f>
        <v>1.1475000000000002</v>
      </c>
      <c r="K26" s="291">
        <f t="shared" si="9"/>
        <v>99.603000000000009</v>
      </c>
      <c r="L26" s="289">
        <f t="shared" si="10"/>
        <v>214.20000000000002</v>
      </c>
      <c r="M26" s="289">
        <f t="shared" si="11"/>
        <v>14.940450000000002</v>
      </c>
      <c r="N26" s="290">
        <f t="shared" si="12"/>
        <v>32.130000000000003</v>
      </c>
    </row>
    <row r="27" spans="1:14" s="8" customFormat="1" ht="18.5" x14ac:dyDescent="0.45">
      <c r="A27" s="61" t="str">
        <f>IF(F27&lt;&gt;"",(LARGE(A$7:A26,1)+1),"")</f>
        <v/>
      </c>
      <c r="B27" s="130"/>
      <c r="C27" s="288"/>
      <c r="D27" s="310"/>
      <c r="E27" s="289"/>
      <c r="F27" s="290"/>
      <c r="G27" s="291"/>
      <c r="H27" s="289"/>
      <c r="I27" s="289"/>
      <c r="J27" s="290"/>
      <c r="K27" s="291"/>
      <c r="L27" s="289"/>
      <c r="M27" s="289"/>
      <c r="N27" s="290"/>
    </row>
    <row r="28" spans="1:14" s="8" customFormat="1" ht="18.5" x14ac:dyDescent="0.45">
      <c r="A28" s="61" t="str">
        <f>IF(F28&lt;&gt;"",(LARGE(A$7:A27,1)+1),"")</f>
        <v/>
      </c>
      <c r="B28" s="293" t="s">
        <v>227</v>
      </c>
      <c r="C28" s="288">
        <v>2</v>
      </c>
      <c r="D28" s="310" t="s">
        <v>13</v>
      </c>
      <c r="E28" s="289"/>
      <c r="F28" s="290"/>
      <c r="G28" s="291"/>
      <c r="H28" s="289"/>
      <c r="I28" s="289"/>
      <c r="J28" s="290"/>
      <c r="K28" s="291"/>
      <c r="L28" s="289"/>
      <c r="M28" s="289"/>
      <c r="N28" s="290"/>
    </row>
    <row r="29" spans="1:14" s="8" customFormat="1" ht="18.5" x14ac:dyDescent="0.45">
      <c r="A29" s="61" t="str">
        <f>IF(F29&lt;&gt;"",(LARGE(A$7:A28,1)+1),"")</f>
        <v/>
      </c>
      <c r="B29" s="130"/>
      <c r="C29" s="288"/>
      <c r="D29" s="310"/>
      <c r="E29" s="289"/>
      <c r="F29" s="290"/>
      <c r="G29" s="291"/>
      <c r="H29" s="289"/>
      <c r="I29" s="289"/>
      <c r="J29" s="290"/>
      <c r="K29" s="291"/>
      <c r="L29" s="289"/>
      <c r="M29" s="289"/>
      <c r="N29" s="290"/>
    </row>
    <row r="30" spans="1:14" s="8" customFormat="1" ht="18.5" x14ac:dyDescent="0.45">
      <c r="A30" s="61">
        <f>IF(F30&lt;&gt;"",(LARGE(A$7:A29,1)+1),"")</f>
        <v>12</v>
      </c>
      <c r="B30" s="130" t="s">
        <v>222</v>
      </c>
      <c r="C30" s="304">
        <f>C28/(0.4*2.74)</f>
        <v>1.824817518248175</v>
      </c>
      <c r="D30" s="146" t="s">
        <v>13</v>
      </c>
      <c r="E30" s="289">
        <f t="shared" ref="E30:E35" si="13">G30+H30+J30+I30</f>
        <v>26.113624999999999</v>
      </c>
      <c r="F30" s="290">
        <f t="shared" ref="F30:F35" si="14">E30*C30</f>
        <v>47.652600364963497</v>
      </c>
      <c r="G30" s="291">
        <v>7.2075000000000005</v>
      </c>
      <c r="H30" s="289">
        <v>15.5</v>
      </c>
      <c r="I30" s="289">
        <f>IF(D30=0," ",(G30)*(Details!$C$4+Details!$C$8))</f>
        <v>1.0811250000000003</v>
      </c>
      <c r="J30" s="290">
        <f>IF(D30=0," ",(H30)*(Details!$C$6+Details!$C$8))</f>
        <v>2.3250000000000002</v>
      </c>
      <c r="K30" s="291">
        <f t="shared" ref="K30:K35" si="15">+G30*C30</f>
        <v>13.152372262773723</v>
      </c>
      <c r="L30" s="289">
        <f t="shared" ref="L30:L35" si="16">+H30*C30</f>
        <v>28.284671532846712</v>
      </c>
      <c r="M30" s="289">
        <f t="shared" ref="M30:M35" si="17">IF(D30=0," ",(I30*C30))</f>
        <v>1.9728558394160587</v>
      </c>
      <c r="N30" s="290">
        <f t="shared" ref="N30:N35" si="18">IF(D30=0," ",(J30*C30))</f>
        <v>4.242700729927007</v>
      </c>
    </row>
    <row r="31" spans="1:14" s="8" customFormat="1" ht="18.5" x14ac:dyDescent="0.45">
      <c r="A31" s="61">
        <f>IF(F31&lt;&gt;"",(LARGE(A$7:A30,1)+1),"")</f>
        <v>13</v>
      </c>
      <c r="B31" s="130" t="s">
        <v>172</v>
      </c>
      <c r="C31" s="304">
        <f>C28*2</f>
        <v>4</v>
      </c>
      <c r="D31" s="146" t="s">
        <v>13</v>
      </c>
      <c r="E31" s="289">
        <f t="shared" si="13"/>
        <v>26.113624999999999</v>
      </c>
      <c r="F31" s="290">
        <f t="shared" si="14"/>
        <v>104.4545</v>
      </c>
      <c r="G31" s="291">
        <v>7.2075000000000005</v>
      </c>
      <c r="H31" s="289">
        <v>15.5</v>
      </c>
      <c r="I31" s="289">
        <f>IF(D31=0," ",(G31)*(Details!$C$4+Details!$C$8))</f>
        <v>1.0811250000000003</v>
      </c>
      <c r="J31" s="290">
        <f>IF(D31=0," ",(H31)*(Details!$C$6+Details!$C$8))</f>
        <v>2.3250000000000002</v>
      </c>
      <c r="K31" s="291">
        <f t="shared" si="15"/>
        <v>28.830000000000002</v>
      </c>
      <c r="L31" s="289">
        <f t="shared" si="16"/>
        <v>62</v>
      </c>
      <c r="M31" s="289">
        <f t="shared" si="17"/>
        <v>4.3245000000000013</v>
      </c>
      <c r="N31" s="290">
        <f t="shared" si="18"/>
        <v>9.3000000000000007</v>
      </c>
    </row>
    <row r="32" spans="1:14" s="8" customFormat="1" ht="18.5" x14ac:dyDescent="0.45">
      <c r="A32" s="61">
        <f>IF(F32&lt;&gt;"",(LARGE(A$7:A31,1)+1),"")</f>
        <v>14</v>
      </c>
      <c r="B32" s="130" t="s">
        <v>173</v>
      </c>
      <c r="C32" s="304">
        <f>C28*1</f>
        <v>2</v>
      </c>
      <c r="D32" s="146" t="s">
        <v>13</v>
      </c>
      <c r="E32" s="289">
        <f t="shared" si="13"/>
        <v>261.13625000000002</v>
      </c>
      <c r="F32" s="290">
        <f t="shared" si="14"/>
        <v>522.27250000000004</v>
      </c>
      <c r="G32" s="291">
        <v>72.075000000000003</v>
      </c>
      <c r="H32" s="289">
        <v>155</v>
      </c>
      <c r="I32" s="289">
        <f>IF(D32=0," ",(G32)*(Details!$C$4+Details!$C$8))</f>
        <v>10.811250000000003</v>
      </c>
      <c r="J32" s="290">
        <f>IF(D32=0," ",(H32)*(Details!$C$6+Details!$C$8))</f>
        <v>23.250000000000004</v>
      </c>
      <c r="K32" s="291">
        <f t="shared" si="15"/>
        <v>144.15</v>
      </c>
      <c r="L32" s="289">
        <f t="shared" si="16"/>
        <v>310</v>
      </c>
      <c r="M32" s="289">
        <f t="shared" si="17"/>
        <v>21.622500000000006</v>
      </c>
      <c r="N32" s="290">
        <f t="shared" si="18"/>
        <v>46.500000000000007</v>
      </c>
    </row>
    <row r="33" spans="1:14" s="8" customFormat="1" ht="18.5" x14ac:dyDescent="0.45">
      <c r="A33" s="61">
        <f>IF(F33&lt;&gt;"",(LARGE(A$7:A32,1)+1),"")</f>
        <v>15</v>
      </c>
      <c r="B33" s="130" t="s">
        <v>223</v>
      </c>
      <c r="C33" s="304">
        <f>C28*2.74</f>
        <v>5.48</v>
      </c>
      <c r="D33" s="146" t="s">
        <v>10</v>
      </c>
      <c r="E33" s="289">
        <f t="shared" si="13"/>
        <v>22.322937499999998</v>
      </c>
      <c r="F33" s="290">
        <f t="shared" si="14"/>
        <v>122.32969749999999</v>
      </c>
      <c r="G33" s="291">
        <v>6.1612499999999999</v>
      </c>
      <c r="H33" s="289">
        <v>13.25</v>
      </c>
      <c r="I33" s="289">
        <f>IF(D33=0," ",(G33)*(Details!$C$4+Details!$C$8))</f>
        <v>0.92418750000000016</v>
      </c>
      <c r="J33" s="290">
        <f>IF(D33=0," ",(H33)*(Details!$C$6+Details!$C$8))</f>
        <v>1.9875000000000003</v>
      </c>
      <c r="K33" s="291">
        <f t="shared" si="15"/>
        <v>33.763650000000005</v>
      </c>
      <c r="L33" s="289">
        <f t="shared" si="16"/>
        <v>72.61</v>
      </c>
      <c r="M33" s="289">
        <f t="shared" si="17"/>
        <v>5.0645475000000015</v>
      </c>
      <c r="N33" s="290">
        <f t="shared" si="18"/>
        <v>10.891500000000002</v>
      </c>
    </row>
    <row r="34" spans="1:14" s="8" customFormat="1" ht="18.5" x14ac:dyDescent="0.45">
      <c r="A34" s="61">
        <f>IF(F34&lt;&gt;"",(LARGE(A$7:A33,1)+1),"")</f>
        <v>16</v>
      </c>
      <c r="B34" s="130" t="s">
        <v>226</v>
      </c>
      <c r="C34" s="304">
        <f>C28*2.74</f>
        <v>5.48</v>
      </c>
      <c r="D34" s="146" t="s">
        <v>10</v>
      </c>
      <c r="E34" s="289">
        <f t="shared" si="13"/>
        <v>14.320375</v>
      </c>
      <c r="F34" s="290">
        <f t="shared" si="14"/>
        <v>78.475655000000003</v>
      </c>
      <c r="G34" s="291">
        <v>3.9525000000000001</v>
      </c>
      <c r="H34" s="289">
        <v>8.5</v>
      </c>
      <c r="I34" s="289">
        <f>IF(D34=0," ",(G34)*(Details!$C$4+Details!$C$8))</f>
        <v>0.59287500000000015</v>
      </c>
      <c r="J34" s="290">
        <f>IF(D34=0," ",(H34)*(Details!$C$6+Details!$C$8))</f>
        <v>1.2750000000000001</v>
      </c>
      <c r="K34" s="291">
        <f t="shared" si="15"/>
        <v>21.659700000000001</v>
      </c>
      <c r="L34" s="289">
        <f t="shared" si="16"/>
        <v>46.580000000000005</v>
      </c>
      <c r="M34" s="289">
        <f t="shared" si="17"/>
        <v>3.2489550000000009</v>
      </c>
      <c r="N34" s="290">
        <f t="shared" si="18"/>
        <v>6.987000000000001</v>
      </c>
    </row>
    <row r="35" spans="1:14" s="8" customFormat="1" ht="18.5" x14ac:dyDescent="0.45">
      <c r="A35" s="61">
        <f>IF(F35&lt;&gt;"",(LARGE(A$7:A34,1)+1),"")</f>
        <v>17</v>
      </c>
      <c r="B35" s="130" t="s">
        <v>224</v>
      </c>
      <c r="C35" s="304">
        <f>C28*2</f>
        <v>4</v>
      </c>
      <c r="D35" s="146" t="s">
        <v>13</v>
      </c>
      <c r="E35" s="289">
        <f t="shared" si="13"/>
        <v>12.8883375</v>
      </c>
      <c r="F35" s="290">
        <f t="shared" si="14"/>
        <v>51.553350000000002</v>
      </c>
      <c r="G35" s="291">
        <v>3.5572500000000002</v>
      </c>
      <c r="H35" s="289">
        <v>7.65</v>
      </c>
      <c r="I35" s="289">
        <f>IF(D35=0," ",(G35)*(Details!$C$4+Details!$C$8))</f>
        <v>0.5335875000000001</v>
      </c>
      <c r="J35" s="290">
        <f>IF(D35=0," ",(H35)*(Details!$C$6+Details!$C$8))</f>
        <v>1.1475000000000002</v>
      </c>
      <c r="K35" s="291">
        <f t="shared" si="15"/>
        <v>14.229000000000001</v>
      </c>
      <c r="L35" s="289">
        <f t="shared" si="16"/>
        <v>30.6</v>
      </c>
      <c r="M35" s="289">
        <f t="shared" si="17"/>
        <v>2.1343500000000004</v>
      </c>
      <c r="N35" s="290">
        <f t="shared" si="18"/>
        <v>4.5900000000000007</v>
      </c>
    </row>
    <row r="36" spans="1:14" s="8" customFormat="1" ht="18.5" x14ac:dyDescent="0.45">
      <c r="A36" s="61" t="str">
        <f>IF(F36&lt;&gt;"",(LARGE(A$7:A35,1)+1),"")</f>
        <v/>
      </c>
      <c r="B36" s="130"/>
      <c r="C36" s="288"/>
      <c r="D36" s="310"/>
      <c r="E36" s="289"/>
      <c r="F36" s="290"/>
      <c r="G36" s="291"/>
      <c r="H36" s="289"/>
      <c r="I36" s="289"/>
      <c r="J36" s="290"/>
      <c r="K36" s="291"/>
      <c r="L36" s="289"/>
      <c r="M36" s="289"/>
      <c r="N36" s="290"/>
    </row>
    <row r="37" spans="1:14" s="8" customFormat="1" ht="18.5" x14ac:dyDescent="0.45">
      <c r="A37" s="61" t="str">
        <f>IF(F37&lt;&gt;"",(LARGE(A$7:A36,1)+1),"")</f>
        <v/>
      </c>
      <c r="B37" s="293" t="s">
        <v>225</v>
      </c>
      <c r="C37" s="288">
        <v>8</v>
      </c>
      <c r="D37" s="310" t="s">
        <v>13</v>
      </c>
      <c r="E37" s="289"/>
      <c r="F37" s="290"/>
      <c r="G37" s="291"/>
      <c r="H37" s="289"/>
      <c r="I37" s="289"/>
      <c r="J37" s="290"/>
      <c r="K37" s="291"/>
      <c r="L37" s="289"/>
      <c r="M37" s="289"/>
      <c r="N37" s="290"/>
    </row>
    <row r="38" spans="1:14" s="8" customFormat="1" ht="18.5" x14ac:dyDescent="0.45">
      <c r="A38" s="61" t="str">
        <f>IF(F38&lt;&gt;"",(LARGE(A$7:A37,1)+1),"")</f>
        <v/>
      </c>
      <c r="B38" s="130"/>
      <c r="C38" s="288"/>
      <c r="D38" s="310"/>
      <c r="E38" s="289"/>
      <c r="F38" s="290"/>
      <c r="G38" s="291"/>
      <c r="H38" s="289"/>
      <c r="I38" s="289"/>
      <c r="J38" s="290"/>
      <c r="K38" s="291"/>
      <c r="L38" s="289"/>
      <c r="M38" s="289"/>
      <c r="N38" s="290"/>
    </row>
    <row r="39" spans="1:14" s="8" customFormat="1" ht="18.5" x14ac:dyDescent="0.45">
      <c r="A39" s="61">
        <f>IF(F39&lt;&gt;"",(LARGE(A$7:A38,1)+1),"")</f>
        <v>18</v>
      </c>
      <c r="B39" s="130" t="s">
        <v>222</v>
      </c>
      <c r="C39" s="304">
        <f>C37/(0.4*2.74)</f>
        <v>7.2992700729926998</v>
      </c>
      <c r="D39" s="146" t="s">
        <v>13</v>
      </c>
      <c r="E39" s="289">
        <f t="shared" ref="E39:E42" si="19">G39+H39+J39+I39</f>
        <v>26.113624999999999</v>
      </c>
      <c r="F39" s="290">
        <f t="shared" ref="F39:F42" si="20">E39*C39</f>
        <v>190.61040145985399</v>
      </c>
      <c r="G39" s="291">
        <v>7.2075000000000005</v>
      </c>
      <c r="H39" s="289">
        <v>15.5</v>
      </c>
      <c r="I39" s="289">
        <f>IF(D39=0," ",(G39)*(Details!$C$4+Details!$C$8))</f>
        <v>1.0811250000000003</v>
      </c>
      <c r="J39" s="290">
        <f>IF(D39=0," ",(H39)*(Details!$C$6+Details!$C$8))</f>
        <v>2.3250000000000002</v>
      </c>
      <c r="K39" s="291">
        <f t="shared" ref="K39:K42" si="21">+G39*C39</f>
        <v>52.60948905109489</v>
      </c>
      <c r="L39" s="289">
        <f t="shared" ref="L39:L42" si="22">+H39*C39</f>
        <v>113.13868613138685</v>
      </c>
      <c r="M39" s="289">
        <f t="shared" ref="M39:M42" si="23">IF(D39=0," ",(I39*C39))</f>
        <v>7.8914233576642348</v>
      </c>
      <c r="N39" s="290">
        <f t="shared" ref="N39:N42" si="24">IF(D39=0," ",(J39*C39))</f>
        <v>16.970802919708028</v>
      </c>
    </row>
    <row r="40" spans="1:14" s="8" customFormat="1" ht="18.5" x14ac:dyDescent="0.45">
      <c r="A40" s="61">
        <f>IF(F40&lt;&gt;"",(LARGE(A$7:A39,1)+1),"")</f>
        <v>19</v>
      </c>
      <c r="B40" s="130" t="s">
        <v>172</v>
      </c>
      <c r="C40" s="304">
        <f>C37*2</f>
        <v>16</v>
      </c>
      <c r="D40" s="146" t="s">
        <v>13</v>
      </c>
      <c r="E40" s="289">
        <f t="shared" si="19"/>
        <v>26.113624999999999</v>
      </c>
      <c r="F40" s="290">
        <f t="shared" si="20"/>
        <v>417.81799999999998</v>
      </c>
      <c r="G40" s="291">
        <v>7.2075000000000005</v>
      </c>
      <c r="H40" s="289">
        <v>15.5</v>
      </c>
      <c r="I40" s="289">
        <f>IF(D40=0," ",(G40)*(Details!$C$4+Details!$C$8))</f>
        <v>1.0811250000000003</v>
      </c>
      <c r="J40" s="290">
        <f>IF(D40=0," ",(H40)*(Details!$C$6+Details!$C$8))</f>
        <v>2.3250000000000002</v>
      </c>
      <c r="K40" s="291">
        <f t="shared" si="21"/>
        <v>115.32000000000001</v>
      </c>
      <c r="L40" s="289">
        <f t="shared" si="22"/>
        <v>248</v>
      </c>
      <c r="M40" s="289">
        <f t="shared" si="23"/>
        <v>17.298000000000005</v>
      </c>
      <c r="N40" s="290">
        <f t="shared" si="24"/>
        <v>37.200000000000003</v>
      </c>
    </row>
    <row r="41" spans="1:14" s="8" customFormat="1" ht="18.5" x14ac:dyDescent="0.45">
      <c r="A41" s="61">
        <f>IF(F41&lt;&gt;"",(LARGE(A$7:A40,1)+1),"")</f>
        <v>20</v>
      </c>
      <c r="B41" s="130" t="s">
        <v>173</v>
      </c>
      <c r="C41" s="304">
        <f>C37*1</f>
        <v>8</v>
      </c>
      <c r="D41" s="146" t="s">
        <v>13</v>
      </c>
      <c r="E41" s="289">
        <f t="shared" si="19"/>
        <v>26.113624999999999</v>
      </c>
      <c r="F41" s="290">
        <f t="shared" si="20"/>
        <v>208.90899999999999</v>
      </c>
      <c r="G41" s="291">
        <v>7.2075000000000005</v>
      </c>
      <c r="H41" s="289">
        <v>15.5</v>
      </c>
      <c r="I41" s="289">
        <f>IF(D41=0," ",(G41)*(Details!$C$4+Details!$C$8))</f>
        <v>1.0811250000000003</v>
      </c>
      <c r="J41" s="290">
        <f>IF(D41=0," ",(H41)*(Details!$C$6+Details!$C$8))</f>
        <v>2.3250000000000002</v>
      </c>
      <c r="K41" s="291">
        <f t="shared" si="21"/>
        <v>57.660000000000004</v>
      </c>
      <c r="L41" s="289">
        <f t="shared" si="22"/>
        <v>124</v>
      </c>
      <c r="M41" s="289">
        <f t="shared" si="23"/>
        <v>8.6490000000000027</v>
      </c>
      <c r="N41" s="290">
        <f t="shared" si="24"/>
        <v>18.600000000000001</v>
      </c>
    </row>
    <row r="42" spans="1:14" s="8" customFormat="1" ht="18.5" x14ac:dyDescent="0.45">
      <c r="A42" s="61">
        <f>IF(F42&lt;&gt;"",(LARGE(A$7:A41,1)+1),"")</f>
        <v>21</v>
      </c>
      <c r="B42" s="130" t="s">
        <v>224</v>
      </c>
      <c r="C42" s="304">
        <f>C37*4</f>
        <v>32</v>
      </c>
      <c r="D42" s="146" t="s">
        <v>13</v>
      </c>
      <c r="E42" s="289">
        <f t="shared" si="19"/>
        <v>12.8883375</v>
      </c>
      <c r="F42" s="290">
        <f t="shared" si="20"/>
        <v>412.42680000000001</v>
      </c>
      <c r="G42" s="291">
        <v>3.5572500000000002</v>
      </c>
      <c r="H42" s="289">
        <v>7.65</v>
      </c>
      <c r="I42" s="289">
        <f>IF(D42=0," ",(G42)*(Details!$C$4+Details!$C$8))</f>
        <v>0.5335875000000001</v>
      </c>
      <c r="J42" s="290">
        <f>IF(D42=0," ",(H42)*(Details!$C$6+Details!$C$8))</f>
        <v>1.1475000000000002</v>
      </c>
      <c r="K42" s="291">
        <f t="shared" si="21"/>
        <v>113.83200000000001</v>
      </c>
      <c r="L42" s="289">
        <f t="shared" si="22"/>
        <v>244.8</v>
      </c>
      <c r="M42" s="289">
        <f t="shared" si="23"/>
        <v>17.074800000000003</v>
      </c>
      <c r="N42" s="290">
        <f t="shared" si="24"/>
        <v>36.720000000000006</v>
      </c>
    </row>
    <row r="43" spans="1:14" s="8" customFormat="1" ht="18.5" x14ac:dyDescent="0.45">
      <c r="A43" s="61" t="str">
        <f>IF(F43&lt;&gt;"",(LARGE(A$7:A42,1)+1),"")</f>
        <v/>
      </c>
      <c r="B43" s="130"/>
      <c r="C43" s="288"/>
      <c r="D43" s="146"/>
      <c r="E43" s="289"/>
      <c r="F43" s="290"/>
      <c r="G43" s="291"/>
      <c r="H43" s="289"/>
      <c r="I43" s="289"/>
      <c r="J43" s="290"/>
      <c r="K43" s="311"/>
      <c r="L43" s="309"/>
      <c r="M43" s="309"/>
      <c r="N43" s="290"/>
    </row>
    <row r="44" spans="1:14" s="8" customFormat="1" ht="18.5" x14ac:dyDescent="0.45">
      <c r="A44" s="61" t="str">
        <f>IF(F44&lt;&gt;"",(LARGE(A$7:A43,1)+1),"")</f>
        <v/>
      </c>
      <c r="B44" s="301" t="s">
        <v>42</v>
      </c>
      <c r="C44" s="288"/>
      <c r="D44" s="146"/>
      <c r="E44" s="289"/>
      <c r="F44" s="290"/>
      <c r="G44" s="291"/>
      <c r="H44" s="289"/>
      <c r="I44" s="289" t="str">
        <f>IF(D44=0," ",(G44)*(Details!$C$4+Details!$C$8))</f>
        <v xml:space="preserve"> </v>
      </c>
      <c r="J44" s="290" t="str">
        <f>IF(D44=0," ",(H44)*(Details!$C$6+Details!$C$8))</f>
        <v xml:space="preserve"> </v>
      </c>
      <c r="K44" s="291"/>
      <c r="L44" s="289"/>
      <c r="M44" s="289" t="str">
        <f t="shared" ref="M44" si="25">IF(D44=0," ",(I44*C44))</f>
        <v xml:space="preserve"> </v>
      </c>
      <c r="N44" s="290" t="str">
        <f t="shared" ref="N44" si="26">IF(D44=0," ",(J44*C44))</f>
        <v xml:space="preserve"> </v>
      </c>
    </row>
    <row r="45" spans="1:14" s="8" customFormat="1" ht="18.5" x14ac:dyDescent="0.45">
      <c r="A45" s="61" t="str">
        <f>IF(F45&lt;&gt;"",(LARGE(A$7:A44,1)+1),"")</f>
        <v/>
      </c>
      <c r="B45" s="137"/>
      <c r="C45" s="288"/>
      <c r="D45" s="146"/>
      <c r="E45" s="289"/>
      <c r="F45" s="290"/>
      <c r="G45" s="291"/>
      <c r="H45" s="289"/>
      <c r="I45" s="289"/>
      <c r="J45" s="290"/>
      <c r="K45" s="311"/>
      <c r="L45" s="309"/>
      <c r="M45" s="309"/>
      <c r="N45" s="290"/>
    </row>
    <row r="46" spans="1:14" s="8" customFormat="1" ht="18.5" x14ac:dyDescent="0.45">
      <c r="A46" s="61">
        <f>IF(F46&lt;&gt;"",(LARGE(A$7:A45,1)+1),"")</f>
        <v>22</v>
      </c>
      <c r="B46" s="130" t="s">
        <v>229</v>
      </c>
      <c r="C46" s="304">
        <v>73</v>
      </c>
      <c r="D46" s="146" t="s">
        <v>10</v>
      </c>
      <c r="E46" s="289">
        <f t="shared" ref="E46" si="27">G46+H46+J46+I46</f>
        <v>19.627337499999999</v>
      </c>
      <c r="F46" s="290">
        <f>E46*C46</f>
        <v>1432.7956374999999</v>
      </c>
      <c r="G46" s="291">
        <v>5.4172500000000001</v>
      </c>
      <c r="H46" s="289">
        <v>11.65</v>
      </c>
      <c r="I46" s="289">
        <f>IF(D46=0," ",(G46)*(Details!$C$4+Details!$C$8))</f>
        <v>0.81258750000000013</v>
      </c>
      <c r="J46" s="290">
        <f>IF(D46=0," ",(H46)*(Details!$C$6+Details!$C$8))</f>
        <v>1.7475000000000003</v>
      </c>
      <c r="K46" s="291">
        <f t="shared" ref="K46" si="28">+G46*C46</f>
        <v>395.45925</v>
      </c>
      <c r="L46" s="289">
        <f t="shared" ref="L46" si="29">+H46*C46</f>
        <v>850.45</v>
      </c>
      <c r="M46" s="289">
        <f t="shared" ref="M46" si="30">IF(D46=0," ",(I46*C46))</f>
        <v>59.31888750000001</v>
      </c>
      <c r="N46" s="290">
        <f t="shared" ref="N46" si="31">IF(D46=0," ",(J46*C46))</f>
        <v>127.56750000000002</v>
      </c>
    </row>
    <row r="47" spans="1:14" s="8" customFormat="1" ht="18.5" x14ac:dyDescent="0.45">
      <c r="A47" s="61">
        <f>IF(F47&lt;&gt;"",(LARGE(A$7:A46,1)+1),"")</f>
        <v>23</v>
      </c>
      <c r="B47" s="130" t="s">
        <v>230</v>
      </c>
      <c r="C47" s="304">
        <v>5</v>
      </c>
      <c r="D47" s="146" t="s">
        <v>10</v>
      </c>
      <c r="E47" s="289">
        <f t="shared" ref="E47" si="32">G47+H47+J47+I47</f>
        <v>21.649037499999999</v>
      </c>
      <c r="F47" s="290">
        <f>E47*C47</f>
        <v>108.24518749999999</v>
      </c>
      <c r="G47" s="291">
        <v>5.97525</v>
      </c>
      <c r="H47" s="289">
        <v>12.85</v>
      </c>
      <c r="I47" s="289">
        <f>IF(D47=0," ",(G47)*(Details!$C$4+Details!$C$8))</f>
        <v>0.89628750000000013</v>
      </c>
      <c r="J47" s="290">
        <f>IF(D47=0," ",(H47)*(Details!$C$6+Details!$C$8))</f>
        <v>1.9275000000000002</v>
      </c>
      <c r="K47" s="291">
        <f t="shared" ref="K47" si="33">+G47*C47</f>
        <v>29.876249999999999</v>
      </c>
      <c r="L47" s="289">
        <f t="shared" ref="L47" si="34">+H47*C47</f>
        <v>64.25</v>
      </c>
      <c r="M47" s="289">
        <f t="shared" ref="M47" si="35">IF(D47=0," ",(I47*C47))</f>
        <v>4.4814375000000002</v>
      </c>
      <c r="N47" s="290">
        <f t="shared" ref="N47" si="36">IF(D47=0," ",(J47*C47))</f>
        <v>9.6375000000000011</v>
      </c>
    </row>
    <row r="48" spans="1:14" s="8" customFormat="1" ht="18.5" x14ac:dyDescent="0.45">
      <c r="A48" s="61">
        <f>IF(F48&lt;&gt;"",(LARGE(A$7:A47,1)+1),"")</f>
        <v>24</v>
      </c>
      <c r="B48" s="130" t="s">
        <v>231</v>
      </c>
      <c r="C48" s="304">
        <v>68</v>
      </c>
      <c r="D48" s="146" t="s">
        <v>10</v>
      </c>
      <c r="E48" s="289">
        <f t="shared" ref="E48" si="37">G48+H48+J48+I48</f>
        <v>20.014830000000003</v>
      </c>
      <c r="F48" s="290">
        <f>E48*C48</f>
        <v>1361.0084400000003</v>
      </c>
      <c r="G48" s="291">
        <v>5.5242000000000004</v>
      </c>
      <c r="H48" s="289">
        <v>11.88</v>
      </c>
      <c r="I48" s="289">
        <f>IF(D48=0," ",(G48)*(Details!$C$4+Details!$C$8))</f>
        <v>0.8286300000000002</v>
      </c>
      <c r="J48" s="290">
        <f>IF(D48=0," ",(H48)*(Details!$C$6+Details!$C$8))</f>
        <v>1.7820000000000005</v>
      </c>
      <c r="K48" s="291">
        <f t="shared" ref="K48" si="38">+G48*C48</f>
        <v>375.64560000000006</v>
      </c>
      <c r="L48" s="289">
        <f t="shared" ref="L48" si="39">+H48*C48</f>
        <v>807.84</v>
      </c>
      <c r="M48" s="289">
        <f t="shared" ref="M48" si="40">IF(D48=0," ",(I48*C48))</f>
        <v>56.346840000000014</v>
      </c>
      <c r="N48" s="290">
        <f t="shared" ref="N48" si="41">IF(D48=0," ",(J48*C48))</f>
        <v>121.17600000000003</v>
      </c>
    </row>
    <row r="49" spans="1:14" s="8" customFormat="1" ht="18.5" x14ac:dyDescent="0.45">
      <c r="A49" s="61" t="str">
        <f>IF(F49&lt;&gt;"",(LARGE(A$7:A48,1)+1),"")</f>
        <v/>
      </c>
      <c r="B49" s="130"/>
      <c r="C49" s="304"/>
      <c r="D49" s="146"/>
      <c r="E49" s="289"/>
      <c r="F49" s="290"/>
      <c r="G49" s="291"/>
      <c r="H49" s="289"/>
      <c r="I49" s="289"/>
      <c r="J49" s="290"/>
      <c r="K49" s="311"/>
      <c r="L49" s="309"/>
      <c r="M49" s="309"/>
      <c r="N49" s="290"/>
    </row>
    <row r="50" spans="1:14" s="8" customFormat="1" ht="18.5" x14ac:dyDescent="0.45">
      <c r="A50" s="61" t="str">
        <f>IF(F50&lt;&gt;"",(LARGE(A$7:A49,1)+1),"")</f>
        <v/>
      </c>
      <c r="B50" s="301" t="s">
        <v>174</v>
      </c>
      <c r="C50" s="304"/>
      <c r="D50" s="146"/>
      <c r="E50" s="289"/>
      <c r="F50" s="290"/>
      <c r="G50" s="291"/>
      <c r="H50" s="289"/>
      <c r="I50" s="289"/>
      <c r="J50" s="290"/>
      <c r="K50" s="311"/>
      <c r="L50" s="309"/>
      <c r="M50" s="309"/>
      <c r="N50" s="290"/>
    </row>
    <row r="51" spans="1:14" s="8" customFormat="1" ht="18.5" x14ac:dyDescent="0.45">
      <c r="A51" s="61" t="str">
        <f>IF(F51&lt;&gt;"",(LARGE(A$7:A50,1)+1),"")</f>
        <v/>
      </c>
      <c r="B51" s="130"/>
      <c r="C51" s="304"/>
      <c r="D51" s="146"/>
      <c r="E51" s="289"/>
      <c r="F51" s="290"/>
      <c r="G51" s="291"/>
      <c r="H51" s="289"/>
      <c r="I51" s="289"/>
      <c r="J51" s="290"/>
      <c r="K51" s="311"/>
      <c r="L51" s="309"/>
      <c r="M51" s="309"/>
      <c r="N51" s="290"/>
    </row>
    <row r="52" spans="1:14" s="8" customFormat="1" ht="18.5" x14ac:dyDescent="0.45">
      <c r="A52" s="61">
        <f>IF(F52&lt;&gt;"",(LARGE(A$7:A51,1)+1),"")</f>
        <v>25</v>
      </c>
      <c r="B52" s="130" t="s">
        <v>175</v>
      </c>
      <c r="C52" s="304">
        <f>21*2.74*2</f>
        <v>115.08000000000001</v>
      </c>
      <c r="D52" s="146" t="s">
        <v>10</v>
      </c>
      <c r="E52" s="289">
        <f t="shared" ref="E52" si="42">G52+H52+J52+I52</f>
        <v>18.9534375</v>
      </c>
      <c r="F52" s="290">
        <f t="shared" ref="F52" si="43">E52*C52</f>
        <v>2181.1615875000002</v>
      </c>
      <c r="G52" s="291">
        <v>5.2312500000000002</v>
      </c>
      <c r="H52" s="289">
        <v>11.25</v>
      </c>
      <c r="I52" s="289">
        <f>IF(D52=0," ",(G52)*(Details!$C$4+Details!$C$8))</f>
        <v>0.78468750000000009</v>
      </c>
      <c r="J52" s="290">
        <f>IF(D52=0," ",(H52)*(Details!$C$6+Details!$C$8))</f>
        <v>1.6875000000000002</v>
      </c>
      <c r="K52" s="291">
        <f t="shared" ref="K52" si="44">+G52*C52</f>
        <v>602.01225000000011</v>
      </c>
      <c r="L52" s="289">
        <f t="shared" ref="L52" si="45">+H52*C52</f>
        <v>1294.6500000000001</v>
      </c>
      <c r="M52" s="289">
        <f t="shared" ref="M52" si="46">IF(D52=0," ",(I52*C52))</f>
        <v>90.301837500000019</v>
      </c>
      <c r="N52" s="290">
        <f t="shared" ref="N52" si="47">IF(D52=0," ",(J52*C52))</f>
        <v>194.19750000000005</v>
      </c>
    </row>
    <row r="53" spans="1:14" s="8" customFormat="1" ht="18.5" x14ac:dyDescent="0.45">
      <c r="A53" s="61">
        <f>IF(F53&lt;&gt;"",(LARGE(A$7:A52,1)+1),"")</f>
        <v>26</v>
      </c>
      <c r="B53" s="130" t="s">
        <v>176</v>
      </c>
      <c r="C53" s="304">
        <f>7*2.74</f>
        <v>19.18</v>
      </c>
      <c r="D53" s="146" t="s">
        <v>10</v>
      </c>
      <c r="E53" s="289">
        <f t="shared" ref="E53:E56" si="48">G53+H53+J53+I53</f>
        <v>18.9534375</v>
      </c>
      <c r="F53" s="290">
        <f t="shared" ref="F53:F56" si="49">E53*C53</f>
        <v>363.52693124999996</v>
      </c>
      <c r="G53" s="291">
        <v>5.2312500000000002</v>
      </c>
      <c r="H53" s="289">
        <v>11.25</v>
      </c>
      <c r="I53" s="289">
        <f>IF(D53=0," ",(G53)*(Details!$C$4+Details!$C$8))</f>
        <v>0.78468750000000009</v>
      </c>
      <c r="J53" s="290">
        <f>IF(D53=0," ",(H53)*(Details!$C$6+Details!$C$8))</f>
        <v>1.6875000000000002</v>
      </c>
      <c r="K53" s="291">
        <f t="shared" ref="K53:K56" si="50">+G53*C53</f>
        <v>100.335375</v>
      </c>
      <c r="L53" s="289">
        <f t="shared" ref="L53:L56" si="51">+H53*C53</f>
        <v>215.77500000000001</v>
      </c>
      <c r="M53" s="289">
        <f t="shared" ref="M53:M56" si="52">IF(D53=0," ",(I53*C53))</f>
        <v>15.050306250000002</v>
      </c>
      <c r="N53" s="290">
        <f t="shared" ref="N53:N56" si="53">IF(D53=0," ",(J53*C53))</f>
        <v>32.366250000000001</v>
      </c>
    </row>
    <row r="54" spans="1:14" s="8" customFormat="1" ht="18.5" x14ac:dyDescent="0.45">
      <c r="A54" s="61">
        <f>IF(F54&lt;&gt;"",(LARGE(A$7:A53,1)+1),"")</f>
        <v>27</v>
      </c>
      <c r="B54" s="130" t="s">
        <v>228</v>
      </c>
      <c r="C54" s="304">
        <f>7*2.74</f>
        <v>19.18</v>
      </c>
      <c r="D54" s="146" t="s">
        <v>10</v>
      </c>
      <c r="E54" s="289">
        <f t="shared" ref="E54" si="54">G54+H54+J54+I54</f>
        <v>21.649037499999999</v>
      </c>
      <c r="F54" s="290">
        <f t="shared" ref="F54" si="55">E54*C54</f>
        <v>415.22853924999998</v>
      </c>
      <c r="G54" s="291">
        <v>5.97525</v>
      </c>
      <c r="H54" s="289">
        <v>12.85</v>
      </c>
      <c r="I54" s="289">
        <f>IF(D54=0," ",(G54)*(Details!$C$4+Details!$C$8))</f>
        <v>0.89628750000000013</v>
      </c>
      <c r="J54" s="290">
        <f>IF(D54=0," ",(H54)*(Details!$C$6+Details!$C$8))</f>
        <v>1.9275000000000002</v>
      </c>
      <c r="K54" s="291">
        <f t="shared" ref="K54" si="56">+G54*C54</f>
        <v>114.605295</v>
      </c>
      <c r="L54" s="289">
        <f t="shared" ref="L54" si="57">+H54*C54</f>
        <v>246.46299999999999</v>
      </c>
      <c r="M54" s="289">
        <f t="shared" ref="M54" si="58">IF(D54=0," ",(I54*C54))</f>
        <v>17.190794250000003</v>
      </c>
      <c r="N54" s="290">
        <f t="shared" ref="N54" si="59">IF(D54=0," ",(J54*C54))</f>
        <v>36.969450000000002</v>
      </c>
    </row>
    <row r="55" spans="1:14" s="8" customFormat="1" ht="18.5" x14ac:dyDescent="0.45">
      <c r="A55" s="61">
        <f>IF(F55&lt;&gt;"",(LARGE(A$7:A54,1)+1),"")</f>
        <v>28</v>
      </c>
      <c r="B55" s="130" t="s">
        <v>228</v>
      </c>
      <c r="C55" s="304">
        <f>2*2.74</f>
        <v>5.48</v>
      </c>
      <c r="D55" s="146" t="s">
        <v>10</v>
      </c>
      <c r="E55" s="289">
        <f t="shared" si="48"/>
        <v>21.649037499999999</v>
      </c>
      <c r="F55" s="290">
        <f t="shared" si="49"/>
        <v>118.6367255</v>
      </c>
      <c r="G55" s="291">
        <v>5.97525</v>
      </c>
      <c r="H55" s="289">
        <v>12.85</v>
      </c>
      <c r="I55" s="289">
        <f>IF(D55=0," ",(G55)*(Details!$C$4+Details!$C$8))</f>
        <v>0.89628750000000013</v>
      </c>
      <c r="J55" s="290">
        <f>IF(D55=0," ",(H55)*(Details!$C$6+Details!$C$8))</f>
        <v>1.9275000000000002</v>
      </c>
      <c r="K55" s="291">
        <f t="shared" si="50"/>
        <v>32.744370000000004</v>
      </c>
      <c r="L55" s="289">
        <f t="shared" si="51"/>
        <v>70.418000000000006</v>
      </c>
      <c r="M55" s="289">
        <f t="shared" si="52"/>
        <v>4.9116555000000011</v>
      </c>
      <c r="N55" s="290">
        <f t="shared" si="53"/>
        <v>10.562700000000001</v>
      </c>
    </row>
    <row r="56" spans="1:14" s="8" customFormat="1" ht="18.5" x14ac:dyDescent="0.45">
      <c r="A56" s="61">
        <f>IF(F56&lt;&gt;"",(LARGE(A$7:A55,1)+1),"")</f>
        <v>29</v>
      </c>
      <c r="B56" s="130" t="s">
        <v>175</v>
      </c>
      <c r="C56" s="304">
        <f>8*2.74*2</f>
        <v>43.84</v>
      </c>
      <c r="D56" s="146" t="s">
        <v>10</v>
      </c>
      <c r="E56" s="289">
        <f t="shared" si="48"/>
        <v>20.014830000000003</v>
      </c>
      <c r="F56" s="290">
        <f t="shared" si="49"/>
        <v>877.45014720000017</v>
      </c>
      <c r="G56" s="291">
        <v>5.5242000000000004</v>
      </c>
      <c r="H56" s="289">
        <v>11.88</v>
      </c>
      <c r="I56" s="289">
        <f>IF(D56=0," ",(G56)*(Details!$C$4+Details!$C$8))</f>
        <v>0.8286300000000002</v>
      </c>
      <c r="J56" s="290">
        <f>IF(D56=0," ",(H56)*(Details!$C$6+Details!$C$8))</f>
        <v>1.7820000000000005</v>
      </c>
      <c r="K56" s="291">
        <f t="shared" si="50"/>
        <v>242.18092800000005</v>
      </c>
      <c r="L56" s="289">
        <f t="shared" si="51"/>
        <v>520.81920000000002</v>
      </c>
      <c r="M56" s="289">
        <f t="shared" si="52"/>
        <v>36.327139200000012</v>
      </c>
      <c r="N56" s="290">
        <f t="shared" si="53"/>
        <v>78.122880000000023</v>
      </c>
    </row>
    <row r="57" spans="1:14" s="8" customFormat="1" ht="18.5" x14ac:dyDescent="0.45">
      <c r="A57" s="61" t="str">
        <f>IF(F57&lt;&gt;"",(LARGE(A$7:A56,1)+1),"")</f>
        <v/>
      </c>
      <c r="B57" s="130"/>
      <c r="C57" s="304"/>
      <c r="D57" s="146"/>
      <c r="E57" s="289"/>
      <c r="F57" s="290"/>
      <c r="G57" s="291"/>
      <c r="H57" s="289"/>
      <c r="I57" s="289"/>
      <c r="J57" s="290"/>
      <c r="K57" s="311"/>
      <c r="L57" s="309"/>
      <c r="M57" s="309"/>
      <c r="N57" s="290"/>
    </row>
    <row r="58" spans="1:14" s="8" customFormat="1" ht="18.5" x14ac:dyDescent="0.45">
      <c r="A58" s="61" t="str">
        <f>IF(F58&lt;&gt;"",(LARGE(A$7:A57,1)+1),"")</f>
        <v/>
      </c>
      <c r="B58" s="301" t="s">
        <v>170</v>
      </c>
      <c r="C58" s="304"/>
      <c r="D58" s="146"/>
      <c r="E58" s="289"/>
      <c r="F58" s="290"/>
      <c r="G58" s="291"/>
      <c r="H58" s="289"/>
      <c r="I58" s="289" t="str">
        <f>IF(D58=0," ",(G58)*(Details!$C$4+Details!$C$8))</f>
        <v xml:space="preserve"> </v>
      </c>
      <c r="J58" s="290" t="str">
        <f>IF(D58=0," ",(H58)*(Details!$C$6+Details!$C$8))</f>
        <v xml:space="preserve"> </v>
      </c>
      <c r="K58" s="291"/>
      <c r="L58" s="289"/>
      <c r="M58" s="289" t="str">
        <f t="shared" ref="M58" si="60">IF(D58=0," ",(I58*C58))</f>
        <v xml:space="preserve"> </v>
      </c>
      <c r="N58" s="290" t="str">
        <f t="shared" ref="N58" si="61">IF(D58=0," ",(J58*C58))</f>
        <v xml:space="preserve"> </v>
      </c>
    </row>
    <row r="59" spans="1:14" s="8" customFormat="1" ht="18.5" x14ac:dyDescent="0.45">
      <c r="A59" s="61" t="str">
        <f>IF(F59&lt;&gt;"",(LARGE(A$7:A58,1)+1),"")</f>
        <v/>
      </c>
      <c r="B59" s="25"/>
      <c r="C59" s="288"/>
      <c r="D59" s="310"/>
      <c r="E59" s="289"/>
      <c r="F59" s="290"/>
      <c r="G59" s="291"/>
      <c r="H59" s="289"/>
      <c r="I59" s="289"/>
      <c r="J59" s="290"/>
      <c r="K59" s="311"/>
      <c r="L59" s="309"/>
      <c r="M59" s="309"/>
      <c r="N59" s="290"/>
    </row>
    <row r="60" spans="1:14" s="8" customFormat="1" ht="18.5" x14ac:dyDescent="0.45">
      <c r="A60" s="61">
        <f>IF(F60&lt;&gt;"",(LARGE(A$7:A59,1)+1),"")</f>
        <v>30</v>
      </c>
      <c r="B60" s="130" t="s">
        <v>37</v>
      </c>
      <c r="C60" s="288">
        <v>203</v>
      </c>
      <c r="D60" s="146" t="s">
        <v>10</v>
      </c>
      <c r="E60" s="289">
        <f t="shared" ref="E60" si="62">G60+H60+J60+I60</f>
        <v>14.573087500000002</v>
      </c>
      <c r="F60" s="290">
        <f>E60*C60</f>
        <v>2958.3367625000005</v>
      </c>
      <c r="G60" s="291">
        <v>4.0222500000000005</v>
      </c>
      <c r="H60" s="289">
        <v>8.65</v>
      </c>
      <c r="I60" s="289">
        <f>IF(D60=0," ",(G60)*(Details!$C$4+Details!$C$8))</f>
        <v>0.60333750000000019</v>
      </c>
      <c r="J60" s="290">
        <f>IF(D60=0," ",(H60)*(Details!$C$6+Details!$C$8))</f>
        <v>1.2975000000000003</v>
      </c>
      <c r="K60" s="291">
        <f t="shared" ref="K60" si="63">+G60*C60</f>
        <v>816.51675000000012</v>
      </c>
      <c r="L60" s="289">
        <f t="shared" ref="L60" si="64">+H60*C60</f>
        <v>1755.95</v>
      </c>
      <c r="M60" s="289">
        <f t="shared" ref="M60" si="65">IF(D60=0," ",(I60*C60))</f>
        <v>122.47751250000005</v>
      </c>
      <c r="N60" s="290">
        <f t="shared" ref="N60" si="66">IF(D60=0," ",(J60*C60))</f>
        <v>263.39250000000004</v>
      </c>
    </row>
    <row r="61" spans="1:14" s="8" customFormat="1" ht="18.5" x14ac:dyDescent="0.45">
      <c r="A61" s="61">
        <f>IF(F61&lt;&gt;"",(LARGE(A$7:A60,1)+1),"")</f>
        <v>31</v>
      </c>
      <c r="B61" s="130" t="s">
        <v>38</v>
      </c>
      <c r="C61" s="288">
        <v>0</v>
      </c>
      <c r="D61" s="146" t="s">
        <v>10</v>
      </c>
      <c r="E61" s="289">
        <f t="shared" ref="E61" si="67">G61+H61+J61+I61</f>
        <v>15.583937499999999</v>
      </c>
      <c r="F61" s="290">
        <f>E61*C61</f>
        <v>0</v>
      </c>
      <c r="G61" s="291">
        <v>4.3012500000000005</v>
      </c>
      <c r="H61" s="289">
        <v>9.25</v>
      </c>
      <c r="I61" s="289">
        <f>IF(D61=0," ",(G61)*(Details!$C$4+Details!$C$8))</f>
        <v>0.64518750000000014</v>
      </c>
      <c r="J61" s="290">
        <f>IF(D61=0," ",(H61)*(Details!$C$6+Details!$C$8))</f>
        <v>1.3875000000000002</v>
      </c>
      <c r="K61" s="291">
        <f>+G61*C61</f>
        <v>0</v>
      </c>
      <c r="L61" s="289">
        <f>+H61*C61</f>
        <v>0</v>
      </c>
      <c r="M61" s="289">
        <f>IF(D61=0," ",(I61*C61))</f>
        <v>0</v>
      </c>
      <c r="N61" s="290">
        <f>IF(D61=0," ",(J61*C61))</f>
        <v>0</v>
      </c>
    </row>
    <row r="62" spans="1:14" s="8" customFormat="1" ht="18.5" x14ac:dyDescent="0.45">
      <c r="A62" s="61" t="str">
        <f>IF(F62&lt;&gt;"",(LARGE(A$7:A61,1)+1),"")</f>
        <v/>
      </c>
      <c r="B62" s="130"/>
      <c r="C62" s="288"/>
      <c r="D62" s="310"/>
      <c r="E62" s="289"/>
      <c r="F62" s="290"/>
      <c r="G62" s="291"/>
      <c r="H62" s="289"/>
      <c r="I62" s="289"/>
      <c r="J62" s="290"/>
      <c r="K62" s="311"/>
      <c r="L62" s="309"/>
      <c r="M62" s="309"/>
      <c r="N62" s="290"/>
    </row>
    <row r="63" spans="1:14" s="8" customFormat="1" ht="18.5" x14ac:dyDescent="0.45">
      <c r="A63" s="61" t="str">
        <f>IF(F63&lt;&gt;"",(LARGE(A$7:A62,1)+1),"")</f>
        <v/>
      </c>
      <c r="B63" s="301" t="s">
        <v>166</v>
      </c>
      <c r="C63" s="304"/>
      <c r="D63" s="146"/>
      <c r="E63" s="289"/>
      <c r="F63" s="290"/>
      <c r="G63" s="291"/>
      <c r="H63" s="289"/>
      <c r="I63" s="289"/>
      <c r="J63" s="290"/>
      <c r="K63" s="291"/>
      <c r="L63" s="289"/>
      <c r="M63" s="289"/>
      <c r="N63" s="290"/>
    </row>
    <row r="64" spans="1:14" s="8" customFormat="1" ht="18.5" x14ac:dyDescent="0.45">
      <c r="A64" s="61" t="str">
        <f>IF(F64&lt;&gt;"",(LARGE(A$7:A63,1)+1),"")</f>
        <v/>
      </c>
      <c r="B64" s="25"/>
      <c r="C64" s="288"/>
      <c r="D64" s="310"/>
      <c r="E64" s="289"/>
      <c r="F64" s="290"/>
      <c r="G64" s="291"/>
      <c r="H64" s="289"/>
      <c r="I64" s="289"/>
      <c r="J64" s="290"/>
      <c r="K64" s="311"/>
      <c r="L64" s="309"/>
      <c r="M64" s="309"/>
      <c r="N64" s="290"/>
    </row>
    <row r="65" spans="1:16" s="8" customFormat="1" ht="18.5" x14ac:dyDescent="0.45">
      <c r="A65" s="61">
        <f>IF(F65&lt;&gt;"",(LARGE(A$7:A64,1)+1),"")</f>
        <v>32</v>
      </c>
      <c r="B65" s="130" t="s">
        <v>167</v>
      </c>
      <c r="C65" s="288">
        <v>1</v>
      </c>
      <c r="D65" s="146" t="s">
        <v>39</v>
      </c>
      <c r="E65" s="289">
        <f t="shared" ref="E65" si="68">G65+H65+J65+I65</f>
        <v>716.01874999999995</v>
      </c>
      <c r="F65" s="290">
        <f>E65*C65</f>
        <v>716.01874999999995</v>
      </c>
      <c r="G65" s="291">
        <v>197.625</v>
      </c>
      <c r="H65" s="289">
        <v>425</v>
      </c>
      <c r="I65" s="289">
        <f>IF(D65=0," ",(G65)*(Details!$C$4+Details!$C$8))</f>
        <v>29.643750000000004</v>
      </c>
      <c r="J65" s="290">
        <f>IF(D65=0," ",(H65)*(Details!$C$6+Details!$C$8))</f>
        <v>63.750000000000007</v>
      </c>
      <c r="K65" s="291">
        <f>+G65*C65</f>
        <v>197.625</v>
      </c>
      <c r="L65" s="289">
        <f>+H65*C65</f>
        <v>425</v>
      </c>
      <c r="M65" s="289">
        <f>IF(D65=0," ",(I65*C65))</f>
        <v>29.643750000000004</v>
      </c>
      <c r="N65" s="290">
        <f>IF(D65=0," ",(J65*C65))</f>
        <v>63.750000000000007</v>
      </c>
    </row>
    <row r="66" spans="1:16" s="8" customFormat="1" ht="18.5" x14ac:dyDescent="0.45">
      <c r="A66" s="61" t="str">
        <f>IF(F66&lt;&gt;"",(LARGE(A$7:A65,1)+1),"")</f>
        <v/>
      </c>
      <c r="B66" s="130"/>
      <c r="C66" s="124"/>
      <c r="D66" s="38"/>
      <c r="E66" s="35"/>
      <c r="F66" s="165"/>
      <c r="G66" s="46"/>
      <c r="H66" s="35"/>
      <c r="I66" s="35"/>
      <c r="J66" s="165"/>
      <c r="K66" s="179"/>
      <c r="L66" s="7"/>
      <c r="M66" s="7"/>
      <c r="N66" s="165"/>
    </row>
    <row r="67" spans="1:16" s="8" customFormat="1" ht="18.5" x14ac:dyDescent="0.45">
      <c r="A67" s="61" t="str">
        <f>IF(F67&lt;&gt;"",(LARGE(A$7:A66,1)+1),"")</f>
        <v/>
      </c>
      <c r="B67" s="130"/>
      <c r="C67" s="145"/>
      <c r="D67" s="38"/>
      <c r="E67" s="35"/>
      <c r="F67" s="165"/>
      <c r="G67" s="46"/>
      <c r="H67" s="35"/>
      <c r="I67" s="35"/>
      <c r="J67" s="165"/>
      <c r="K67" s="179"/>
      <c r="L67" s="7"/>
      <c r="M67" s="7"/>
      <c r="N67" s="165"/>
    </row>
    <row r="68" spans="1:16" s="8" customFormat="1" ht="18.5" x14ac:dyDescent="0.45">
      <c r="A68" s="61" t="str">
        <f>IF(F68&lt;&gt;"",(LARGE(A$7:A67,1)+1),"")</f>
        <v/>
      </c>
      <c r="B68" s="130"/>
      <c r="C68" s="145"/>
      <c r="D68" s="38"/>
      <c r="E68" s="35"/>
      <c r="F68" s="165"/>
      <c r="G68" s="46"/>
      <c r="H68" s="35"/>
      <c r="I68" s="35"/>
      <c r="J68" s="165" t="str">
        <f>IF(D68=0," ",(G68+H68)*(Details!$C$4+Details!$C$6))</f>
        <v xml:space="preserve"> </v>
      </c>
      <c r="K68" s="179"/>
      <c r="L68" s="7"/>
      <c r="M68" s="7"/>
      <c r="N68" s="165"/>
      <c r="P68" s="59"/>
    </row>
    <row r="69" spans="1:16" s="8" customFormat="1" ht="19" thickBot="1" x14ac:dyDescent="0.5">
      <c r="A69" s="61"/>
      <c r="B69" s="139"/>
      <c r="C69" s="124"/>
      <c r="D69" s="47"/>
      <c r="E69" s="49" t="s">
        <v>81</v>
      </c>
      <c r="F69" s="166">
        <f>SUM(F8:F68)</f>
        <v>18980.366475134306</v>
      </c>
      <c r="G69" s="46"/>
      <c r="H69" s="35"/>
      <c r="I69" s="35"/>
      <c r="J69" s="165" t="str">
        <f>IF(D69=0," ",(G69+H69)*(Details!$C$4+Details!$C$6))</f>
        <v xml:space="preserve"> </v>
      </c>
      <c r="K69" s="207">
        <f>SUM(K8:K68)</f>
        <v>5238.6825409927005</v>
      </c>
      <c r="L69" s="208">
        <f>SUM(L8:L68)</f>
        <v>11265.983959124087</v>
      </c>
      <c r="M69" s="208">
        <f>SUM(M8:M68)</f>
        <v>785.8023811489054</v>
      </c>
      <c r="N69" s="166">
        <f>SUM(N8:N68)</f>
        <v>1689.8975938686135</v>
      </c>
      <c r="O69" s="42"/>
      <c r="P69" s="59"/>
    </row>
    <row r="70" spans="1:16" s="8" customFormat="1" ht="19.5" thickTop="1" thickBot="1" x14ac:dyDescent="0.5">
      <c r="A70" s="140" t="str">
        <f>IF(F70&lt;&gt;"",(LARGE(A$7:A69,1)+1),"")</f>
        <v/>
      </c>
      <c r="B70" s="141"/>
      <c r="C70" s="136"/>
      <c r="D70" s="50"/>
      <c r="E70" s="52"/>
      <c r="F70" s="54"/>
      <c r="G70" s="53"/>
      <c r="H70" s="52"/>
      <c r="I70" s="52"/>
      <c r="J70" s="54" t="str">
        <f>IF(D70=0," ",(G70+H70)*(Details!$C$4+Details!$C$6))</f>
        <v xml:space="preserve"> </v>
      </c>
      <c r="K70" s="189"/>
      <c r="L70" s="189"/>
      <c r="M70" s="189"/>
      <c r="N70" s="153"/>
      <c r="O70" s="42"/>
    </row>
  </sheetData>
  <mergeCells count="2">
    <mergeCell ref="G5:J5"/>
    <mergeCell ref="K5:N5"/>
  </mergeCells>
  <conditionalFormatting sqref="G8:G10565">
    <cfRule type="notContainsBlanks" dxfId="48" priority="1">
      <formula>LEN(TRIM(G8))&gt;0</formula>
    </cfRule>
  </conditionalFormatting>
  <conditionalFormatting sqref="H13:H61 H63:H65 H66:I10465">
    <cfRule type="notContainsBlanks" dxfId="47" priority="11">
      <formula>LEN(TRIM(H13))&gt;0</formula>
    </cfRule>
  </conditionalFormatting>
  <conditionalFormatting sqref="H8:I12">
    <cfRule type="notContainsBlanks" dxfId="46" priority="46">
      <formula>LEN(TRIM(H8))&gt;0</formula>
    </cfRule>
  </conditionalFormatting>
  <conditionalFormatting sqref="I43 I45 I49:I51 I57 I59 H62:I62 I64">
    <cfRule type="notContainsBlanks" dxfId="45" priority="53">
      <formula>LEN(TRIM(H43))&gt;0</formula>
    </cfRule>
  </conditionalFormatting>
  <conditionalFormatting sqref="P69">
    <cfRule type="cellIs" dxfId="44" priority="49" operator="equal">
      <formula>0</formula>
    </cfRule>
    <cfRule type="cellIs" dxfId="43" priority="50" operator="notBetween">
      <formula>-0.01</formula>
      <formula>0.01</formula>
    </cfRule>
  </conditionalFormatting>
  <printOptions horizontalCentered="1"/>
  <pageMargins left="0.70866141732283461" right="0.70866141732283461" top="0.31496062992125984" bottom="0.55118110236220474" header="0.31496062992125984" footer="0.31496062992125984"/>
  <pageSetup paperSize="9" scale="33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2">
    <pageSetUpPr fitToPage="1"/>
  </sheetPr>
  <dimension ref="A1:P21"/>
  <sheetViews>
    <sheetView view="pageBreakPreview" zoomScale="60" zoomScaleNormal="70" workbookViewId="0">
      <selection activeCell="N18" sqref="N18"/>
    </sheetView>
  </sheetViews>
  <sheetFormatPr defaultColWidth="9.08984375" defaultRowHeight="15.5" x14ac:dyDescent="0.35"/>
  <cols>
    <col min="1" max="1" width="5.453125" style="6" customWidth="1"/>
    <col min="2" max="2" width="80.81640625" style="8" customWidth="1"/>
    <col min="3" max="3" width="12.453125" style="19" customWidth="1"/>
    <col min="4" max="4" width="8.6328125" style="6" customWidth="1"/>
    <col min="5" max="6" width="15.6328125" style="7" customWidth="1"/>
    <col min="7" max="10" width="14.36328125" style="7" customWidth="1"/>
    <col min="11" max="13" width="15.6328125" style="7" customWidth="1"/>
    <col min="14" max="14" width="15.6328125" style="6" customWidth="1"/>
    <col min="15" max="16384" width="9.08984375" style="6"/>
  </cols>
  <sheetData>
    <row r="1" spans="1:14" x14ac:dyDescent="0.35">
      <c r="A1" s="322"/>
      <c r="B1" s="323"/>
      <c r="C1" s="324"/>
      <c r="D1" s="325"/>
      <c r="E1" s="326"/>
      <c r="F1" s="327"/>
      <c r="G1" s="328"/>
      <c r="H1" s="328"/>
      <c r="I1" s="328"/>
      <c r="J1" s="325"/>
      <c r="K1" s="326"/>
      <c r="L1" s="326"/>
      <c r="M1" s="326"/>
      <c r="N1" s="329"/>
    </row>
    <row r="2" spans="1:14" x14ac:dyDescent="0.35">
      <c r="A2" s="330"/>
      <c r="B2" s="3" t="str">
        <f>+'Qual, Excl &amp; Assum'!B2</f>
        <v>PROJECT: ALTERATIONS TO 41 GREENSIDE STREET ROSEMARKIE, IV10 8AG</v>
      </c>
      <c r="F2" s="22"/>
      <c r="G2" s="59"/>
      <c r="H2" s="59"/>
      <c r="I2" s="59"/>
      <c r="J2" s="6"/>
      <c r="N2" s="331"/>
    </row>
    <row r="3" spans="1:14" x14ac:dyDescent="0.35">
      <c r="A3" s="330"/>
      <c r="B3" s="40" t="str">
        <f>+'Qual, Excl &amp; Assum'!B3</f>
        <v>DATE: 20TH NOVEMBER 2025</v>
      </c>
      <c r="F3" s="22"/>
      <c r="G3" s="59"/>
      <c r="H3" s="59"/>
      <c r="I3" s="59"/>
      <c r="J3" s="6"/>
      <c r="N3" s="331"/>
    </row>
    <row r="4" spans="1:14" s="8" customFormat="1" ht="16" thickBot="1" x14ac:dyDescent="0.4">
      <c r="A4" s="330"/>
      <c r="B4" s="9"/>
      <c r="C4" s="19"/>
      <c r="E4" s="23"/>
      <c r="F4" s="24"/>
      <c r="G4" s="64"/>
      <c r="H4" s="64"/>
      <c r="I4" s="64"/>
      <c r="K4" s="7"/>
      <c r="L4" s="7"/>
      <c r="M4" s="7"/>
      <c r="N4" s="332"/>
    </row>
    <row r="5" spans="1:14" s="8" customFormat="1" ht="38.25" customHeight="1" thickBot="1" x14ac:dyDescent="0.4">
      <c r="A5" s="333"/>
      <c r="B5" s="173" t="s">
        <v>20</v>
      </c>
      <c r="C5" s="174"/>
      <c r="D5" s="175"/>
      <c r="E5" s="176"/>
      <c r="F5" s="181"/>
      <c r="G5" s="367" t="s">
        <v>104</v>
      </c>
      <c r="H5" s="367"/>
      <c r="I5" s="367"/>
      <c r="J5" s="368"/>
      <c r="K5" s="366" t="s">
        <v>105</v>
      </c>
      <c r="L5" s="367"/>
      <c r="M5" s="367"/>
      <c r="N5" s="369"/>
    </row>
    <row r="6" spans="1:14" s="8" customFormat="1" ht="18.5" x14ac:dyDescent="0.45">
      <c r="A6" s="334"/>
      <c r="B6" s="25"/>
      <c r="C6" s="124"/>
      <c r="D6" s="25"/>
      <c r="E6" s="51"/>
      <c r="F6" s="163"/>
      <c r="G6" s="211"/>
      <c r="H6" s="211"/>
      <c r="I6" s="211"/>
      <c r="J6" s="168"/>
      <c r="K6" s="179"/>
      <c r="L6" s="7"/>
      <c r="M6" s="7"/>
      <c r="N6" s="332"/>
    </row>
    <row r="7" spans="1:14" s="8" customFormat="1" ht="18.5" x14ac:dyDescent="0.45">
      <c r="A7" s="334"/>
      <c r="B7" s="3" t="s">
        <v>3</v>
      </c>
      <c r="C7" s="216" t="s">
        <v>8</v>
      </c>
      <c r="D7" s="217" t="s">
        <v>2</v>
      </c>
      <c r="E7" s="41" t="s">
        <v>1</v>
      </c>
      <c r="F7" s="218" t="s">
        <v>0</v>
      </c>
      <c r="G7" s="219" t="s">
        <v>25</v>
      </c>
      <c r="H7" s="219" t="s">
        <v>26</v>
      </c>
      <c r="I7" s="219" t="s">
        <v>138</v>
      </c>
      <c r="J7" s="220" t="s">
        <v>139</v>
      </c>
      <c r="K7" s="219" t="s">
        <v>25</v>
      </c>
      <c r="L7" s="219" t="s">
        <v>26</v>
      </c>
      <c r="M7" s="219" t="s">
        <v>138</v>
      </c>
      <c r="N7" s="335" t="s">
        <v>139</v>
      </c>
    </row>
    <row r="8" spans="1:14" s="8" customFormat="1" ht="18.5" x14ac:dyDescent="0.45">
      <c r="A8" s="334"/>
      <c r="B8" s="321"/>
      <c r="C8" s="127"/>
      <c r="D8" s="48"/>
      <c r="E8" s="49"/>
      <c r="F8" s="164"/>
      <c r="G8" s="46"/>
      <c r="H8" s="35"/>
      <c r="I8" s="35"/>
      <c r="J8" s="169"/>
      <c r="K8" s="179"/>
      <c r="L8" s="7"/>
      <c r="M8" s="7"/>
      <c r="N8" s="336" t="str">
        <f t="shared" ref="N8" si="0">IF(D8=0," ",(J8*C8))</f>
        <v xml:space="preserve"> </v>
      </c>
    </row>
    <row r="9" spans="1:14" s="8" customFormat="1" ht="18.5" x14ac:dyDescent="0.45">
      <c r="A9" s="337" t="str">
        <f>IF(F9&lt;&gt;"",(LARGE(#REF!,1)+1),"")</f>
        <v/>
      </c>
      <c r="B9" s="301" t="s">
        <v>46</v>
      </c>
      <c r="C9" s="124"/>
      <c r="D9" s="38"/>
      <c r="E9" s="35"/>
      <c r="F9" s="165"/>
      <c r="G9" s="35"/>
      <c r="H9" s="35"/>
      <c r="I9" s="35" t="str">
        <f>IF(D9=0," ",(G9)*(Details!$C$4+Details!$C$8))</f>
        <v xml:space="preserve"> </v>
      </c>
      <c r="J9" s="165" t="str">
        <f>IF(D9=0," ",(H9)*(Details!$C$6+Details!$C$8))</f>
        <v xml:space="preserve"> </v>
      </c>
      <c r="K9" s="46"/>
      <c r="L9" s="35"/>
      <c r="M9" s="35" t="str">
        <f t="shared" ref="M9" si="1">IF(D9=0," ",(I9*C9))</f>
        <v xml:space="preserve"> </v>
      </c>
      <c r="N9" s="336" t="str">
        <f t="shared" ref="N9:N14" si="2">IF(D9=0," ",(J9*C9))</f>
        <v xml:space="preserve"> </v>
      </c>
    </row>
    <row r="10" spans="1:14" s="8" customFormat="1" ht="18.5" x14ac:dyDescent="0.45">
      <c r="A10" s="337" t="str">
        <f>IF(F10&lt;&gt;"",(LARGE(A$9:A9,1)+1),"")</f>
        <v/>
      </c>
      <c r="B10" s="130"/>
      <c r="C10" s="131"/>
      <c r="D10" s="38"/>
      <c r="E10" s="35"/>
      <c r="F10" s="165"/>
      <c r="G10" s="35"/>
      <c r="H10" s="35"/>
      <c r="I10" s="35"/>
      <c r="J10" s="165"/>
      <c r="K10" s="179"/>
      <c r="L10" s="7"/>
      <c r="M10" s="7"/>
      <c r="N10" s="336" t="str">
        <f t="shared" si="2"/>
        <v xml:space="preserve"> </v>
      </c>
    </row>
    <row r="11" spans="1:14" s="8" customFormat="1" ht="37" x14ac:dyDescent="0.45">
      <c r="A11" s="337">
        <v>1</v>
      </c>
      <c r="B11" s="130" t="s">
        <v>232</v>
      </c>
      <c r="C11" s="304">
        <v>78.11</v>
      </c>
      <c r="D11" s="146" t="s">
        <v>13</v>
      </c>
      <c r="E11" s="289">
        <f>G11+H11+J11+I11</f>
        <v>22.996837500000002</v>
      </c>
      <c r="F11" s="290">
        <f>C11*E11</f>
        <v>1796.2829771250001</v>
      </c>
      <c r="G11" s="291">
        <v>6.3472500000000007</v>
      </c>
      <c r="H11" s="289">
        <v>13.65</v>
      </c>
      <c r="I11" s="289">
        <f>IF(D11=0," ",(G11)*(Details!$C$4+Details!$C$8))</f>
        <v>0.9520875000000002</v>
      </c>
      <c r="J11" s="290">
        <f>IF(D11=0," ",(H11)*(Details!$C$6+Details!$C$8))</f>
        <v>2.0475000000000003</v>
      </c>
      <c r="K11" s="291">
        <f>+G11*C11</f>
        <v>495.78369750000007</v>
      </c>
      <c r="L11" s="289">
        <f>+H11*C11</f>
        <v>1066.2015000000001</v>
      </c>
      <c r="M11" s="289">
        <f>IF(D11=0," ",(I11*C11))</f>
        <v>74.367554625000011</v>
      </c>
      <c r="N11" s="338">
        <f t="shared" si="2"/>
        <v>159.93022500000004</v>
      </c>
    </row>
    <row r="12" spans="1:14" s="8" customFormat="1" ht="18.5" x14ac:dyDescent="0.45">
      <c r="A12" s="337" t="str">
        <f>IF(F12&lt;&gt;"",(LARGE(A$9:A11,1)+1),"")</f>
        <v/>
      </c>
      <c r="B12" s="129"/>
      <c r="C12" s="124"/>
      <c r="D12" s="38"/>
      <c r="E12" s="35"/>
      <c r="F12" s="165"/>
      <c r="G12" s="291"/>
      <c r="H12" s="35"/>
      <c r="I12" s="35"/>
      <c r="J12" s="165"/>
      <c r="K12" s="179"/>
      <c r="L12" s="7"/>
      <c r="M12" s="7"/>
      <c r="N12" s="336" t="str">
        <f t="shared" si="2"/>
        <v xml:space="preserve"> </v>
      </c>
    </row>
    <row r="13" spans="1:14" s="8" customFormat="1" ht="18.5" x14ac:dyDescent="0.45">
      <c r="A13" s="337" t="str">
        <f>IF(F13&lt;&gt;"",(LARGE(A$9:A12,1)+1),"")</f>
        <v/>
      </c>
      <c r="B13" s="301" t="s">
        <v>47</v>
      </c>
      <c r="C13" s="124"/>
      <c r="D13" s="38"/>
      <c r="E13" s="35"/>
      <c r="F13" s="165"/>
      <c r="G13" s="291"/>
      <c r="H13" s="35"/>
      <c r="I13" s="35"/>
      <c r="J13" s="165"/>
      <c r="K13" s="179"/>
      <c r="L13" s="7"/>
      <c r="M13" s="7"/>
      <c r="N13" s="336" t="str">
        <f t="shared" si="2"/>
        <v xml:space="preserve"> </v>
      </c>
    </row>
    <row r="14" spans="1:14" s="8" customFormat="1" ht="18.5" x14ac:dyDescent="0.45">
      <c r="A14" s="337" t="str">
        <f>IF(F14&lt;&gt;"",(LARGE(A$9:A13,1)+1),"")</f>
        <v/>
      </c>
      <c r="B14" s="130"/>
      <c r="C14" s="131"/>
      <c r="D14" s="38"/>
      <c r="E14" s="35"/>
      <c r="F14" s="165"/>
      <c r="G14" s="291"/>
      <c r="H14" s="35"/>
      <c r="I14" s="35"/>
      <c r="J14" s="165"/>
      <c r="K14" s="179"/>
      <c r="L14" s="7"/>
      <c r="M14" s="7"/>
      <c r="N14" s="336" t="str">
        <f t="shared" si="2"/>
        <v xml:space="preserve"> </v>
      </c>
    </row>
    <row r="15" spans="1:14" s="8" customFormat="1" ht="18.5" x14ac:dyDescent="0.45">
      <c r="A15" s="337">
        <f>IF(F15&lt;&gt;"",(LARGE(A$9:A14,1)+1),"")</f>
        <v>2</v>
      </c>
      <c r="B15" s="130" t="s">
        <v>233</v>
      </c>
      <c r="C15" s="304">
        <v>4.3600000000000003</v>
      </c>
      <c r="D15" s="146" t="s">
        <v>13</v>
      </c>
      <c r="E15" s="289">
        <f t="shared" ref="E15:E16" si="3">G15+H15+J15+I15</f>
        <v>228.28362499999997</v>
      </c>
      <c r="F15" s="290">
        <f>C15*E15</f>
        <v>995.31660499999998</v>
      </c>
      <c r="G15" s="291">
        <v>63.0075</v>
      </c>
      <c r="H15" s="289">
        <v>135.5</v>
      </c>
      <c r="I15" s="289">
        <f>IF(D15=0," ",(G15)*(Details!$C$4+Details!$C$8))</f>
        <v>9.4511250000000011</v>
      </c>
      <c r="J15" s="290">
        <f>IF(D15=0," ",(H15)*(Details!$C$6+Details!$C$8))</f>
        <v>20.325000000000003</v>
      </c>
      <c r="K15" s="291">
        <f t="shared" ref="K15:K16" si="4">+G15*C15</f>
        <v>274.71270000000004</v>
      </c>
      <c r="L15" s="289">
        <f t="shared" ref="L15:L16" si="5">+H15*C15</f>
        <v>590.78000000000009</v>
      </c>
      <c r="M15" s="289">
        <f t="shared" ref="M15:M16" si="6">IF(D15=0," ",(I15*C15))</f>
        <v>41.206905000000006</v>
      </c>
      <c r="N15" s="338">
        <f t="shared" ref="N15:N16" si="7">IF(D15=0," ",(J15*C15))</f>
        <v>88.617000000000019</v>
      </c>
    </row>
    <row r="16" spans="1:14" s="8" customFormat="1" ht="18.5" x14ac:dyDescent="0.45">
      <c r="A16" s="337">
        <f>IF(F16&lt;&gt;"",(LARGE(A$9:A15,1)+1),"")</f>
        <v>3</v>
      </c>
      <c r="B16" s="130" t="s">
        <v>234</v>
      </c>
      <c r="C16" s="304">
        <v>5.15</v>
      </c>
      <c r="D16" s="146" t="s">
        <v>13</v>
      </c>
      <c r="E16" s="289">
        <f t="shared" si="3"/>
        <v>90.275000000000006</v>
      </c>
      <c r="F16" s="290">
        <f>C16*E16</f>
        <v>464.91625000000005</v>
      </c>
      <c r="G16" s="291">
        <v>78.5</v>
      </c>
      <c r="H16" s="289"/>
      <c r="I16" s="289">
        <f>IF(D16=0," ",(G16)*(Details!$C$4+Details!$C$8))</f>
        <v>11.775000000000002</v>
      </c>
      <c r="J16" s="290">
        <f>IF(D16=0," ",(H16)*(Details!$C$6+Details!$C$8))</f>
        <v>0</v>
      </c>
      <c r="K16" s="291">
        <f t="shared" si="4"/>
        <v>404.27500000000003</v>
      </c>
      <c r="L16" s="289">
        <f t="shared" si="5"/>
        <v>0</v>
      </c>
      <c r="M16" s="289">
        <f t="shared" si="6"/>
        <v>60.641250000000014</v>
      </c>
      <c r="N16" s="338">
        <f t="shared" si="7"/>
        <v>0</v>
      </c>
    </row>
    <row r="17" spans="1:16" s="8" customFormat="1" ht="20.5" customHeight="1" x14ac:dyDescent="0.45">
      <c r="A17" s="337" t="str">
        <f>IF(F17&lt;&gt;"",(LARGE(A$9:A16,1)+1),"")</f>
        <v/>
      </c>
      <c r="B17" s="129"/>
      <c r="C17" s="124"/>
      <c r="D17" s="38"/>
      <c r="E17" s="35"/>
      <c r="F17" s="165"/>
      <c r="G17" s="35"/>
      <c r="H17" s="35"/>
      <c r="I17" s="35"/>
      <c r="J17" s="165"/>
      <c r="K17" s="46"/>
      <c r="L17" s="35"/>
      <c r="M17" s="35"/>
      <c r="N17" s="336"/>
    </row>
    <row r="18" spans="1:16" s="8" customFormat="1" ht="19" thickBot="1" x14ac:dyDescent="0.5">
      <c r="A18" s="337"/>
      <c r="B18" s="133"/>
      <c r="C18" s="124"/>
      <c r="D18" s="47"/>
      <c r="E18" s="49" t="s">
        <v>81</v>
      </c>
      <c r="F18" s="166">
        <f>SUM(F6:F16)</f>
        <v>3256.5158321250001</v>
      </c>
      <c r="G18" s="46"/>
      <c r="H18" s="35"/>
      <c r="I18" s="35"/>
      <c r="J18" s="165" t="str">
        <f>IF(D18=0," ",(G18+H18)*(Details!$C$4+Details!$C$6))</f>
        <v xml:space="preserve"> </v>
      </c>
      <c r="K18" s="207">
        <f>SUM(K6:K16)</f>
        <v>1174.7713975000001</v>
      </c>
      <c r="L18" s="207">
        <f>SUM(L6:L16)</f>
        <v>1656.9815000000003</v>
      </c>
      <c r="M18" s="207">
        <f>SUM(M6:M16)</f>
        <v>176.21570962500004</v>
      </c>
      <c r="N18" s="339">
        <f>SUM(N6:N17)</f>
        <v>248.54722500000005</v>
      </c>
      <c r="O18" s="42"/>
      <c r="P18" s="59"/>
    </row>
    <row r="19" spans="1:16" s="8" customFormat="1" ht="19.5" thickTop="1" thickBot="1" x14ac:dyDescent="0.5">
      <c r="A19" s="340" t="str">
        <f>IF(F19&lt;&gt;"",(LARGE(A$7:A18,1)+1),"")</f>
        <v/>
      </c>
      <c r="B19" s="341"/>
      <c r="C19" s="342"/>
      <c r="D19" s="343"/>
      <c r="E19" s="344"/>
      <c r="F19" s="345"/>
      <c r="G19" s="346"/>
      <c r="H19" s="344"/>
      <c r="I19" s="344"/>
      <c r="J19" s="345" t="str">
        <f>IF(D19=0," ",(G19+H19)*(Details!$C$4+Details!$C$6))</f>
        <v xml:space="preserve"> </v>
      </c>
      <c r="K19" s="347"/>
      <c r="L19" s="347"/>
      <c r="M19" s="347"/>
      <c r="N19" s="348"/>
      <c r="O19" s="42"/>
    </row>
    <row r="20" spans="1:16" x14ac:dyDescent="0.35">
      <c r="J20" s="6"/>
    </row>
    <row r="21" spans="1:16" x14ac:dyDescent="0.35">
      <c r="J21" s="6"/>
    </row>
  </sheetData>
  <mergeCells count="2">
    <mergeCell ref="G5:J5"/>
    <mergeCell ref="K5:N5"/>
  </mergeCells>
  <conditionalFormatting sqref="G8:G10414">
    <cfRule type="notContainsBlanks" dxfId="42" priority="1">
      <formula>LEN(TRIM(G8))&gt;0</formula>
    </cfRule>
  </conditionalFormatting>
  <conditionalFormatting sqref="H9:H11">
    <cfRule type="notContainsBlanks" dxfId="41" priority="7">
      <formula>LEN(TRIM(H9))&gt;0</formula>
    </cfRule>
  </conditionalFormatting>
  <conditionalFormatting sqref="H15:H17">
    <cfRule type="notContainsBlanks" dxfId="40" priority="3">
      <formula>LEN(TRIM(H15))&gt;0</formula>
    </cfRule>
  </conditionalFormatting>
  <conditionalFormatting sqref="H8:I8 I10">
    <cfRule type="notContainsBlanks" dxfId="39" priority="117">
      <formula>LEN(TRIM(H8))&gt;0</formula>
    </cfRule>
  </conditionalFormatting>
  <conditionalFormatting sqref="H12:I14 H18:I10514">
    <cfRule type="notContainsBlanks" dxfId="38" priority="81">
      <formula>LEN(TRIM(H12))&gt;0</formula>
    </cfRule>
  </conditionalFormatting>
  <conditionalFormatting sqref="P18">
    <cfRule type="cellIs" dxfId="37" priority="111" operator="equal">
      <formula>0</formula>
    </cfRule>
    <cfRule type="cellIs" dxfId="36" priority="112" operator="notBetween">
      <formula>-0.01</formula>
      <formula>0.01</formula>
    </cfRule>
  </conditionalFormatting>
  <printOptions horizontalCentered="1"/>
  <pageMargins left="0.70866141732283461" right="0.70866141732283461" top="0.31496062992125984" bottom="0.55118110236220474" header="0.31496062992125984" footer="0.31496062992125984"/>
  <pageSetup paperSize="9" scale="33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3">
    <pageSetUpPr fitToPage="1"/>
  </sheetPr>
  <dimension ref="A1:P24"/>
  <sheetViews>
    <sheetView view="pageBreakPreview" zoomScale="55" zoomScaleNormal="85" zoomScaleSheetLayoutView="55" workbookViewId="0">
      <selection activeCell="N23" sqref="N23"/>
    </sheetView>
  </sheetViews>
  <sheetFormatPr defaultColWidth="9.08984375" defaultRowHeight="15.5" x14ac:dyDescent="0.35"/>
  <cols>
    <col min="1" max="1" width="5.453125" style="6" customWidth="1"/>
    <col min="2" max="2" width="80.81640625" style="8" customWidth="1"/>
    <col min="3" max="3" width="12.453125" style="19" customWidth="1"/>
    <col min="4" max="4" width="8.6328125" style="6" customWidth="1"/>
    <col min="5" max="6" width="15.6328125" style="7" customWidth="1"/>
    <col min="7" max="10" width="14.36328125" style="7" customWidth="1"/>
    <col min="11" max="13" width="15.6328125" style="7" customWidth="1"/>
    <col min="14" max="14" width="15.6328125" style="6" customWidth="1"/>
    <col min="15" max="16384" width="9.08984375" style="6"/>
  </cols>
  <sheetData>
    <row r="1" spans="1:14" x14ac:dyDescent="0.35">
      <c r="A1" s="16"/>
      <c r="B1" s="10"/>
      <c r="C1" s="18"/>
      <c r="D1" s="11"/>
      <c r="E1" s="20"/>
      <c r="F1" s="21"/>
      <c r="G1" s="20"/>
      <c r="H1" s="20"/>
      <c r="I1" s="20"/>
      <c r="J1" s="11"/>
    </row>
    <row r="2" spans="1:14" x14ac:dyDescent="0.35">
      <c r="A2" s="5"/>
      <c r="B2" s="3" t="str">
        <f>+'Qual, Excl &amp; Assum'!B2</f>
        <v>PROJECT: ALTERATIONS TO 41 GREENSIDE STREET ROSEMARKIE, IV10 8AG</v>
      </c>
      <c r="F2" s="22"/>
      <c r="J2" s="6"/>
    </row>
    <row r="3" spans="1:14" x14ac:dyDescent="0.35">
      <c r="A3" s="5"/>
      <c r="B3" s="40" t="str">
        <f>+'Qual, Excl &amp; Assum'!B3</f>
        <v>DATE: 20TH NOVEMBER 2025</v>
      </c>
      <c r="F3" s="22"/>
      <c r="J3" s="6"/>
    </row>
    <row r="4" spans="1:14" s="8" customFormat="1" ht="16" thickBot="1" x14ac:dyDescent="0.4">
      <c r="A4" s="5"/>
      <c r="B4" s="9"/>
      <c r="C4" s="19"/>
      <c r="E4" s="23"/>
      <c r="F4" s="24"/>
      <c r="G4" s="23"/>
      <c r="H4" s="23"/>
      <c r="I4" s="23"/>
      <c r="K4" s="7"/>
      <c r="L4" s="7"/>
      <c r="M4" s="7"/>
    </row>
    <row r="5" spans="1:14" s="8" customFormat="1" ht="38.25" customHeight="1" thickBot="1" x14ac:dyDescent="0.4">
      <c r="A5" s="172"/>
      <c r="B5" s="173" t="s">
        <v>21</v>
      </c>
      <c r="C5" s="174"/>
      <c r="D5" s="175"/>
      <c r="E5" s="176"/>
      <c r="F5" s="181"/>
      <c r="G5" s="367" t="s">
        <v>104</v>
      </c>
      <c r="H5" s="367"/>
      <c r="I5" s="367"/>
      <c r="J5" s="367"/>
      <c r="K5" s="366" t="s">
        <v>105</v>
      </c>
      <c r="L5" s="367"/>
      <c r="M5" s="367"/>
      <c r="N5" s="368"/>
    </row>
    <row r="6" spans="1:14" s="8" customFormat="1" ht="18.5" x14ac:dyDescent="0.45">
      <c r="A6" s="36"/>
      <c r="B6" s="25"/>
      <c r="C6" s="124"/>
      <c r="D6" s="25"/>
      <c r="E6" s="51"/>
      <c r="F6" s="163"/>
      <c r="G6" s="51"/>
      <c r="H6" s="51"/>
      <c r="I6" s="51"/>
      <c r="J6" s="25"/>
      <c r="K6" s="179"/>
      <c r="L6" s="7"/>
      <c r="M6" s="7"/>
      <c r="N6" s="14"/>
    </row>
    <row r="7" spans="1:14" s="8" customFormat="1" ht="18.5" x14ac:dyDescent="0.45">
      <c r="A7" s="36"/>
      <c r="B7" s="3" t="s">
        <v>3</v>
      </c>
      <c r="C7" s="216" t="s">
        <v>8</v>
      </c>
      <c r="D7" s="217" t="s">
        <v>2</v>
      </c>
      <c r="E7" s="41" t="s">
        <v>1</v>
      </c>
      <c r="F7" s="218" t="s">
        <v>0</v>
      </c>
      <c r="G7" s="219" t="s">
        <v>25</v>
      </c>
      <c r="H7" s="219" t="s">
        <v>26</v>
      </c>
      <c r="I7" s="219" t="s">
        <v>138</v>
      </c>
      <c r="J7" s="220" t="s">
        <v>139</v>
      </c>
      <c r="K7" s="219" t="s">
        <v>25</v>
      </c>
      <c r="L7" s="219" t="s">
        <v>26</v>
      </c>
      <c r="M7" s="219" t="s">
        <v>138</v>
      </c>
      <c r="N7" s="220" t="s">
        <v>139</v>
      </c>
    </row>
    <row r="8" spans="1:14" s="8" customFormat="1" ht="18.5" x14ac:dyDescent="0.45">
      <c r="A8" s="36"/>
      <c r="B8" s="130"/>
      <c r="C8" s="127"/>
      <c r="D8" s="48"/>
      <c r="E8" s="49"/>
      <c r="F8" s="164"/>
      <c r="G8" s="46"/>
      <c r="H8" s="35"/>
      <c r="I8" s="35"/>
      <c r="J8" s="48"/>
      <c r="K8" s="179"/>
      <c r="L8" s="7"/>
      <c r="M8" s="7"/>
      <c r="N8" s="165" t="str">
        <f t="shared" ref="N8" si="0">IF(D8=0," ",(J8*C8))</f>
        <v xml:space="preserve"> </v>
      </c>
    </row>
    <row r="9" spans="1:14" s="8" customFormat="1" ht="18.5" x14ac:dyDescent="0.45">
      <c r="A9" s="36"/>
      <c r="B9" s="301" t="s">
        <v>236</v>
      </c>
      <c r="C9" s="127"/>
      <c r="D9" s="48"/>
      <c r="E9" s="49"/>
      <c r="F9" s="164"/>
      <c r="G9" s="46"/>
      <c r="H9" s="35"/>
      <c r="I9" s="35"/>
      <c r="J9" s="48"/>
      <c r="K9" s="179"/>
      <c r="L9" s="7"/>
      <c r="M9" s="7"/>
      <c r="N9" s="165"/>
    </row>
    <row r="10" spans="1:14" s="8" customFormat="1" ht="18.5" x14ac:dyDescent="0.45">
      <c r="A10" s="36"/>
      <c r="B10" s="130"/>
      <c r="C10" s="127"/>
      <c r="D10" s="48"/>
      <c r="E10" s="49"/>
      <c r="F10" s="164"/>
      <c r="G10" s="46"/>
      <c r="H10" s="35"/>
      <c r="I10" s="35"/>
      <c r="J10" s="48"/>
      <c r="K10" s="179"/>
      <c r="L10" s="7"/>
      <c r="M10" s="7"/>
      <c r="N10" s="165"/>
    </row>
    <row r="11" spans="1:14" s="8" customFormat="1" ht="18.5" x14ac:dyDescent="0.45">
      <c r="A11" s="36">
        <v>1</v>
      </c>
      <c r="B11" s="25" t="s">
        <v>235</v>
      </c>
      <c r="C11" s="288">
        <v>151</v>
      </c>
      <c r="D11" s="146" t="s">
        <v>10</v>
      </c>
      <c r="E11" s="289">
        <f>G11+H11+J11+I11</f>
        <v>23.3337875</v>
      </c>
      <c r="F11" s="290">
        <f>E11*C11</f>
        <v>3523.4019125</v>
      </c>
      <c r="G11" s="291">
        <v>6.4402499999999998</v>
      </c>
      <c r="H11" s="289">
        <v>13.85</v>
      </c>
      <c r="I11" s="289">
        <f>IF(D11=0," ",(G11)*(Details!$C$4+Details!$C$8))</f>
        <v>0.9660375000000001</v>
      </c>
      <c r="J11" s="290">
        <f>IF(D11=0," ",(H11)*(Details!$C$6+Details!$C$8))</f>
        <v>2.0775000000000001</v>
      </c>
      <c r="K11" s="291">
        <f>+G11*C11</f>
        <v>972.47775000000001</v>
      </c>
      <c r="L11" s="289">
        <f>+H11*C11</f>
        <v>2091.35</v>
      </c>
      <c r="M11" s="289">
        <f>IF(D11=0," ",(I11*C11))</f>
        <v>145.87166250000001</v>
      </c>
      <c r="N11" s="290">
        <f>IF(D11=0," ",(J11*C11))</f>
        <v>313.70250000000004</v>
      </c>
    </row>
    <row r="12" spans="1:14" s="8" customFormat="1" ht="18.5" x14ac:dyDescent="0.45">
      <c r="A12" s="36"/>
      <c r="B12" s="130"/>
      <c r="C12" s="124"/>
      <c r="D12" s="38"/>
      <c r="E12" s="35"/>
      <c r="F12" s="165"/>
      <c r="G12" s="291"/>
      <c r="H12" s="35"/>
      <c r="I12" s="35"/>
      <c r="J12" s="165"/>
      <c r="K12" s="179"/>
      <c r="L12" s="7"/>
      <c r="M12" s="7"/>
      <c r="N12" s="165"/>
    </row>
    <row r="13" spans="1:14" s="8" customFormat="1" ht="18.5" x14ac:dyDescent="0.45">
      <c r="A13" s="61"/>
      <c r="B13" s="301" t="s">
        <v>238</v>
      </c>
      <c r="C13" s="124"/>
      <c r="D13" s="38"/>
      <c r="E13" s="35"/>
      <c r="F13" s="165"/>
      <c r="G13" s="291"/>
      <c r="H13" s="35"/>
      <c r="I13" s="35"/>
      <c r="J13" s="165"/>
      <c r="K13" s="46"/>
      <c r="L13" s="35"/>
      <c r="M13" s="35"/>
      <c r="N13" s="165"/>
    </row>
    <row r="14" spans="1:14" s="8" customFormat="1" ht="18.5" x14ac:dyDescent="0.45">
      <c r="A14" s="61" t="str">
        <f>IF(F14&lt;&gt;"",(LARGE(A$7:A13,1)+1),"")</f>
        <v/>
      </c>
      <c r="B14" s="130"/>
      <c r="C14" s="124"/>
      <c r="D14" s="38"/>
      <c r="E14" s="35"/>
      <c r="F14" s="165"/>
      <c r="G14" s="291"/>
      <c r="H14" s="35"/>
      <c r="I14" s="35"/>
      <c r="J14" s="165"/>
      <c r="K14" s="179"/>
      <c r="L14" s="7"/>
      <c r="M14" s="7"/>
      <c r="N14" s="165"/>
    </row>
    <row r="15" spans="1:14" s="8" customFormat="1" ht="18.5" x14ac:dyDescent="0.45">
      <c r="A15" s="61">
        <f>IF(F15&lt;&gt;"",(LARGE(A$7:A14,1)+1),"")</f>
        <v>2</v>
      </c>
      <c r="B15" s="25" t="s">
        <v>237</v>
      </c>
      <c r="C15" s="288">
        <v>448</v>
      </c>
      <c r="D15" s="146" t="s">
        <v>10</v>
      </c>
      <c r="E15" s="289">
        <f>G15+H15+J15+I15</f>
        <v>22.6598875</v>
      </c>
      <c r="F15" s="290">
        <f>E15*C15</f>
        <v>10151.6296</v>
      </c>
      <c r="G15" s="291">
        <v>6.2542499999999999</v>
      </c>
      <c r="H15" s="289">
        <v>13.45</v>
      </c>
      <c r="I15" s="289">
        <f>IF(D15=0," ",(G15)*(Details!$C$4+Details!$C$8))</f>
        <v>0.93813750000000007</v>
      </c>
      <c r="J15" s="290">
        <f>IF(D15=0," ",(H15)*(Details!$C$6+Details!$C$8))</f>
        <v>2.0175000000000001</v>
      </c>
      <c r="K15" s="291">
        <f>+G15*C15</f>
        <v>2801.904</v>
      </c>
      <c r="L15" s="289">
        <f>+H15*C15</f>
        <v>6025.5999999999995</v>
      </c>
      <c r="M15" s="289">
        <f>IF(D15=0," ",(I15*C15))</f>
        <v>420.28560000000004</v>
      </c>
      <c r="N15" s="290">
        <f>IF(D15=0," ",(J15*C15))</f>
        <v>903.84</v>
      </c>
    </row>
    <row r="16" spans="1:14" s="8" customFormat="1" ht="18.5" x14ac:dyDescent="0.45">
      <c r="A16" s="61" t="str">
        <f>IF(F16&lt;&gt;"",(LARGE(A$7:A15,1)+1),"")</f>
        <v/>
      </c>
      <c r="B16" s="130"/>
      <c r="C16" s="124"/>
      <c r="D16" s="47"/>
      <c r="E16" s="35"/>
      <c r="F16" s="165"/>
      <c r="G16" s="291"/>
      <c r="H16" s="35"/>
      <c r="I16" s="35"/>
      <c r="J16" s="165"/>
      <c r="K16" s="179"/>
      <c r="L16" s="7"/>
      <c r="M16" s="7"/>
      <c r="N16" s="165"/>
    </row>
    <row r="17" spans="1:16" s="8" customFormat="1" ht="18.5" x14ac:dyDescent="0.45">
      <c r="A17" s="61" t="str">
        <f>IF(F17&lt;&gt;"",(LARGE(A$7:A16,1)+1),"")</f>
        <v/>
      </c>
      <c r="B17" s="301" t="s">
        <v>239</v>
      </c>
      <c r="C17" s="124"/>
      <c r="D17" s="38"/>
      <c r="E17" s="35"/>
      <c r="F17" s="165"/>
      <c r="G17" s="291"/>
      <c r="H17" s="35"/>
      <c r="I17" s="35"/>
      <c r="J17" s="165"/>
      <c r="K17" s="46"/>
      <c r="L17" s="35"/>
      <c r="M17" s="35"/>
      <c r="N17" s="165"/>
    </row>
    <row r="18" spans="1:16" s="8" customFormat="1" ht="18.5" x14ac:dyDescent="0.45">
      <c r="A18" s="61" t="str">
        <f>IF(F18&lt;&gt;"",(LARGE(A$7:A17,1)+1),"")</f>
        <v/>
      </c>
      <c r="B18" s="25"/>
      <c r="C18" s="124"/>
      <c r="D18" s="38"/>
      <c r="E18" s="35"/>
      <c r="F18" s="165"/>
      <c r="G18" s="291"/>
      <c r="H18" s="35"/>
      <c r="I18" s="35"/>
      <c r="J18" s="165"/>
      <c r="K18" s="46"/>
      <c r="L18" s="35"/>
      <c r="M18" s="35"/>
      <c r="N18" s="165"/>
    </row>
    <row r="19" spans="1:16" s="8" customFormat="1" ht="18.5" x14ac:dyDescent="0.45">
      <c r="A19" s="61">
        <f>IF(F19&lt;&gt;"",(LARGE(A$7:A18,1)+1),"")</f>
        <v>3</v>
      </c>
      <c r="B19" s="25" t="s">
        <v>219</v>
      </c>
      <c r="C19" s="288">
        <v>2</v>
      </c>
      <c r="D19" s="146" t="s">
        <v>12</v>
      </c>
      <c r="E19" s="289">
        <f t="shared" ref="E19:E20" si="1">G19+H19+J19+I19</f>
        <v>194.58862500000004</v>
      </c>
      <c r="F19" s="290">
        <f t="shared" ref="F19:F20" si="2">E19*C19</f>
        <v>389.17725000000007</v>
      </c>
      <c r="G19" s="291">
        <v>53.707500000000003</v>
      </c>
      <c r="H19" s="289">
        <v>115.5</v>
      </c>
      <c r="I19" s="289">
        <f>IF(D19=0," ",(G19)*(Details!$C$4+Details!$C$8))</f>
        <v>8.0561250000000015</v>
      </c>
      <c r="J19" s="290">
        <f>IF(D19=0," ",(H19)*(Details!$C$6+Details!$C$8))</f>
        <v>17.325000000000003</v>
      </c>
      <c r="K19" s="291">
        <f t="shared" ref="K19:K20" si="3">+G19*C19</f>
        <v>107.41500000000001</v>
      </c>
      <c r="L19" s="289">
        <f t="shared" ref="L19:L20" si="4">+H19*C19</f>
        <v>231</v>
      </c>
      <c r="M19" s="289">
        <f t="shared" ref="M19:M20" si="5">IF(D19=0," ",(I19*C19))</f>
        <v>16.112250000000003</v>
      </c>
      <c r="N19" s="290">
        <f t="shared" ref="N19:N20" si="6">IF(D19=0," ",(J19*C19))</f>
        <v>34.650000000000006</v>
      </c>
    </row>
    <row r="20" spans="1:16" s="8" customFormat="1" ht="18.5" x14ac:dyDescent="0.45">
      <c r="A20" s="61">
        <f>IF(F20&lt;&gt;"",(LARGE(A$7:A19,1)+1),"")</f>
        <v>4</v>
      </c>
      <c r="B20" s="25" t="s">
        <v>220</v>
      </c>
      <c r="C20" s="288">
        <v>7</v>
      </c>
      <c r="D20" s="146" t="s">
        <v>12</v>
      </c>
      <c r="E20" s="289">
        <f t="shared" si="1"/>
        <v>148.67918750000001</v>
      </c>
      <c r="F20" s="290">
        <f t="shared" si="2"/>
        <v>1040.7543125000002</v>
      </c>
      <c r="G20" s="291">
        <v>41.036250000000003</v>
      </c>
      <c r="H20" s="289">
        <v>88.25</v>
      </c>
      <c r="I20" s="289">
        <f>IF(D20=0," ",(G20)*(Details!$C$4+Details!$C$8))</f>
        <v>6.1554375000000014</v>
      </c>
      <c r="J20" s="290">
        <f>IF(D20=0," ",(H20)*(Details!$C$6+Details!$C$8))</f>
        <v>13.237500000000002</v>
      </c>
      <c r="K20" s="291">
        <f t="shared" si="3"/>
        <v>287.25375000000003</v>
      </c>
      <c r="L20" s="289">
        <f t="shared" si="4"/>
        <v>617.75</v>
      </c>
      <c r="M20" s="289">
        <f t="shared" si="5"/>
        <v>43.088062500000007</v>
      </c>
      <c r="N20" s="290">
        <f t="shared" si="6"/>
        <v>92.662500000000023</v>
      </c>
    </row>
    <row r="21" spans="1:16" s="8" customFormat="1" ht="18.5" x14ac:dyDescent="0.45">
      <c r="A21" s="61"/>
      <c r="B21" s="25"/>
      <c r="C21" s="124"/>
      <c r="D21" s="38"/>
      <c r="E21" s="35"/>
      <c r="F21" s="165"/>
      <c r="G21" s="35"/>
      <c r="H21" s="35"/>
      <c r="I21" s="35"/>
      <c r="J21" s="165"/>
      <c r="K21" s="46"/>
      <c r="L21" s="35"/>
      <c r="M21" s="35"/>
      <c r="N21" s="165"/>
    </row>
    <row r="22" spans="1:16" s="8" customFormat="1" ht="18.5" x14ac:dyDescent="0.45">
      <c r="A22" s="61" t="str">
        <f>IF(F22&lt;&gt;"",(LARGE(A$7:A17,1)+1),"")</f>
        <v/>
      </c>
      <c r="B22" s="130"/>
      <c r="C22" s="145"/>
      <c r="D22" s="38"/>
      <c r="E22" s="35"/>
      <c r="F22" s="165"/>
      <c r="G22" s="46"/>
      <c r="H22" s="35"/>
      <c r="I22" s="35"/>
      <c r="J22" s="165" t="str">
        <f>IF(D22=0," ",(G22+H22)*(Details!$C$4+Details!$C$6))</f>
        <v xml:space="preserve"> </v>
      </c>
      <c r="K22" s="179"/>
      <c r="L22" s="7"/>
      <c r="M22" s="7"/>
      <c r="N22" s="165"/>
      <c r="P22" s="59"/>
    </row>
    <row r="23" spans="1:16" s="8" customFormat="1" ht="19" thickBot="1" x14ac:dyDescent="0.5">
      <c r="A23" s="61"/>
      <c r="B23" s="139"/>
      <c r="C23" s="124"/>
      <c r="D23" s="47"/>
      <c r="E23" s="49" t="s">
        <v>81</v>
      </c>
      <c r="F23" s="166">
        <f>SUM(F9:F22)</f>
        <v>15104.963075</v>
      </c>
      <c r="G23" s="46"/>
      <c r="H23" s="35"/>
      <c r="I23" s="35"/>
      <c r="J23" s="165" t="str">
        <f>IF(D23=0," ",(G23+H23)*(Details!$C$4+Details!$C$6))</f>
        <v xml:space="preserve"> </v>
      </c>
      <c r="K23" s="207">
        <f>SUM(K6:K22)</f>
        <v>4169.0505000000003</v>
      </c>
      <c r="L23" s="208">
        <f>SUM(L6:L22)</f>
        <v>8965.6999999999989</v>
      </c>
      <c r="M23" s="208">
        <f>SUM(M6:M22)</f>
        <v>625.35757500000011</v>
      </c>
      <c r="N23" s="166">
        <f>SUM(N6:N22)</f>
        <v>1344.855</v>
      </c>
      <c r="O23" s="42"/>
      <c r="P23" s="59"/>
    </row>
    <row r="24" spans="1:16" s="8" customFormat="1" ht="19.5" thickTop="1" thickBot="1" x14ac:dyDescent="0.5">
      <c r="A24" s="37"/>
      <c r="B24" s="141"/>
      <c r="C24" s="136"/>
      <c r="D24" s="50"/>
      <c r="E24" s="52"/>
      <c r="F24" s="54"/>
      <c r="G24" s="53"/>
      <c r="H24" s="52"/>
      <c r="I24" s="52"/>
      <c r="J24" s="52"/>
      <c r="K24" s="209"/>
      <c r="L24" s="189"/>
      <c r="M24" s="189"/>
      <c r="N24" s="153"/>
      <c r="O24" s="42"/>
    </row>
  </sheetData>
  <mergeCells count="2">
    <mergeCell ref="G5:J5"/>
    <mergeCell ref="K5:N5"/>
  </mergeCells>
  <conditionalFormatting sqref="G8:G10519">
    <cfRule type="notContainsBlanks" dxfId="35" priority="1">
      <formula>LEN(TRIM(G8))&gt;0</formula>
    </cfRule>
  </conditionalFormatting>
  <conditionalFormatting sqref="H11:H15">
    <cfRule type="notContainsBlanks" dxfId="34" priority="5">
      <formula>LEN(TRIM(H11))&gt;0</formula>
    </cfRule>
  </conditionalFormatting>
  <conditionalFormatting sqref="H17:H21">
    <cfRule type="notContainsBlanks" dxfId="33" priority="3">
      <formula>LEN(TRIM(H17))&gt;0</formula>
    </cfRule>
  </conditionalFormatting>
  <conditionalFormatting sqref="H8:I10">
    <cfRule type="notContainsBlanks" dxfId="32" priority="28">
      <formula>LEN(TRIM(H8))&gt;0</formula>
    </cfRule>
  </conditionalFormatting>
  <conditionalFormatting sqref="H16:I16">
    <cfRule type="notContainsBlanks" dxfId="31" priority="21">
      <formula>LEN(TRIM(H16))&gt;0</formula>
    </cfRule>
  </conditionalFormatting>
  <conditionalFormatting sqref="H22:I10419">
    <cfRule type="notContainsBlanks" dxfId="30" priority="17">
      <formula>LEN(TRIM(H22))&gt;0</formula>
    </cfRule>
  </conditionalFormatting>
  <conditionalFormatting sqref="I12">
    <cfRule type="notContainsBlanks" dxfId="29" priority="23">
      <formula>LEN(TRIM(I12))&gt;0</formula>
    </cfRule>
  </conditionalFormatting>
  <conditionalFormatting sqref="I14">
    <cfRule type="notContainsBlanks" dxfId="28" priority="22">
      <formula>LEN(TRIM(I14))&gt;0</formula>
    </cfRule>
  </conditionalFormatting>
  <conditionalFormatting sqref="P23">
    <cfRule type="cellIs" dxfId="27" priority="24" operator="equal">
      <formula>0</formula>
    </cfRule>
    <cfRule type="cellIs" dxfId="26" priority="25" operator="notBetween">
      <formula>-0.01</formula>
      <formula>0.01</formula>
    </cfRule>
  </conditionalFormatting>
  <printOptions horizontalCentered="1"/>
  <pageMargins left="0.70866141732283461" right="0.70866141732283461" top="0.31496062992125984" bottom="0.55118110236220474" header="0.31496062992125984" footer="0.31496062992125984"/>
  <pageSetup paperSize="9" scale="33" fitToHeight="0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4">
    <pageSetUpPr fitToPage="1"/>
  </sheetPr>
  <dimension ref="A1:P18"/>
  <sheetViews>
    <sheetView view="pageBreakPreview" zoomScale="60" zoomScaleNormal="55" workbookViewId="0">
      <selection activeCell="N15" sqref="N15"/>
    </sheetView>
  </sheetViews>
  <sheetFormatPr defaultColWidth="9.08984375" defaultRowHeight="15.5" x14ac:dyDescent="0.35"/>
  <cols>
    <col min="1" max="1" width="5.453125" style="6" customWidth="1"/>
    <col min="2" max="2" width="97.36328125" style="8" customWidth="1"/>
    <col min="3" max="3" width="12.453125" style="19" customWidth="1"/>
    <col min="4" max="4" width="8.6328125" style="6" customWidth="1"/>
    <col min="5" max="6" width="15.6328125" style="7" customWidth="1"/>
    <col min="7" max="10" width="14.36328125" style="7" customWidth="1"/>
    <col min="11" max="13" width="15.6328125" style="7" customWidth="1"/>
    <col min="14" max="14" width="15.6328125" style="6" customWidth="1"/>
    <col min="15" max="16384" width="9.08984375" style="6"/>
  </cols>
  <sheetData>
    <row r="1" spans="1:16" x14ac:dyDescent="0.35">
      <c r="A1" s="16"/>
      <c r="B1" s="10"/>
      <c r="C1" s="18"/>
      <c r="D1" s="11"/>
      <c r="E1" s="20"/>
      <c r="F1" s="21"/>
      <c r="G1" s="20"/>
      <c r="H1" s="20"/>
      <c r="I1" s="20"/>
      <c r="J1" s="11"/>
    </row>
    <row r="2" spans="1:16" x14ac:dyDescent="0.35">
      <c r="A2" s="5"/>
      <c r="B2" s="3" t="str">
        <f>+'Qual, Excl &amp; Assum'!B2</f>
        <v>PROJECT: ALTERATIONS TO 41 GREENSIDE STREET ROSEMARKIE, IV10 8AG</v>
      </c>
      <c r="F2" s="22"/>
      <c r="J2" s="6"/>
    </row>
    <row r="3" spans="1:16" x14ac:dyDescent="0.35">
      <c r="A3" s="5"/>
      <c r="B3" s="40" t="str">
        <f>+'Qual, Excl &amp; Assum'!B3</f>
        <v>DATE: 20TH NOVEMBER 2025</v>
      </c>
      <c r="F3" s="22"/>
      <c r="J3" s="6"/>
    </row>
    <row r="4" spans="1:16" s="8" customFormat="1" ht="16" thickBot="1" x14ac:dyDescent="0.4">
      <c r="A4" s="5"/>
      <c r="B4" s="9"/>
      <c r="C4" s="19"/>
      <c r="E4" s="23"/>
      <c r="F4" s="24"/>
      <c r="G4" s="23"/>
      <c r="H4" s="23"/>
      <c r="I4" s="23"/>
      <c r="K4" s="7"/>
      <c r="L4" s="7"/>
      <c r="M4" s="7"/>
    </row>
    <row r="5" spans="1:16" s="8" customFormat="1" ht="38.25" customHeight="1" thickBot="1" x14ac:dyDescent="0.4">
      <c r="A5" s="172"/>
      <c r="B5" s="173" t="s">
        <v>29</v>
      </c>
      <c r="C5" s="174"/>
      <c r="D5" s="175"/>
      <c r="E5" s="176"/>
      <c r="F5" s="181"/>
      <c r="G5" s="367" t="s">
        <v>104</v>
      </c>
      <c r="H5" s="367"/>
      <c r="I5" s="367"/>
      <c r="J5" s="367"/>
      <c r="K5" s="366" t="s">
        <v>105</v>
      </c>
      <c r="L5" s="367"/>
      <c r="M5" s="367"/>
      <c r="N5" s="368"/>
    </row>
    <row r="6" spans="1:16" s="8" customFormat="1" ht="18.5" x14ac:dyDescent="0.45">
      <c r="A6" s="36"/>
      <c r="B6" s="25"/>
      <c r="C6" s="124"/>
      <c r="D6" s="25"/>
      <c r="E6" s="51"/>
      <c r="F6" s="163"/>
      <c r="G6" s="51"/>
      <c r="H6" s="51"/>
      <c r="I6" s="51"/>
      <c r="J6" s="25"/>
      <c r="K6" s="179"/>
      <c r="L6" s="7"/>
      <c r="M6" s="7"/>
      <c r="N6" s="14"/>
    </row>
    <row r="7" spans="1:16" s="8" customFormat="1" ht="18.5" x14ac:dyDescent="0.45">
      <c r="A7" s="36"/>
      <c r="B7" s="3" t="s">
        <v>3</v>
      </c>
      <c r="C7" s="216" t="s">
        <v>8</v>
      </c>
      <c r="D7" s="217" t="s">
        <v>2</v>
      </c>
      <c r="E7" s="41" t="s">
        <v>1</v>
      </c>
      <c r="F7" s="218" t="s">
        <v>0</v>
      </c>
      <c r="G7" s="219" t="s">
        <v>25</v>
      </c>
      <c r="H7" s="219" t="s">
        <v>26</v>
      </c>
      <c r="I7" s="219" t="s">
        <v>138</v>
      </c>
      <c r="J7" s="220" t="s">
        <v>139</v>
      </c>
      <c r="K7" s="219" t="s">
        <v>25</v>
      </c>
      <c r="L7" s="219" t="s">
        <v>26</v>
      </c>
      <c r="M7" s="219" t="s">
        <v>138</v>
      </c>
      <c r="N7" s="220" t="s">
        <v>139</v>
      </c>
    </row>
    <row r="8" spans="1:16" s="8" customFormat="1" ht="18.5" x14ac:dyDescent="0.45">
      <c r="A8" s="36"/>
      <c r="B8" s="137"/>
      <c r="C8" s="127"/>
      <c r="D8" s="48"/>
      <c r="E8" s="49"/>
      <c r="F8" s="164"/>
      <c r="G8" s="46"/>
      <c r="H8" s="35"/>
      <c r="I8" s="35"/>
      <c r="J8" s="48"/>
      <c r="K8" s="179"/>
      <c r="L8" s="7"/>
      <c r="M8" s="7"/>
      <c r="N8" s="165" t="str">
        <f t="shared" ref="N8" si="0">IF(D8=0," ",(J8*C8))</f>
        <v xml:space="preserve"> </v>
      </c>
    </row>
    <row r="9" spans="1:16" s="8" customFormat="1" ht="18.5" x14ac:dyDescent="0.45">
      <c r="A9" s="36"/>
      <c r="B9" s="301" t="s">
        <v>178</v>
      </c>
      <c r="C9" s="124"/>
      <c r="D9" s="47"/>
      <c r="E9" s="35"/>
      <c r="F9" s="165"/>
      <c r="G9" s="46"/>
      <c r="H9" s="35"/>
      <c r="I9" s="35"/>
      <c r="J9" s="35"/>
      <c r="K9" s="179"/>
      <c r="L9" s="7"/>
      <c r="M9" s="7"/>
      <c r="N9" s="165"/>
    </row>
    <row r="10" spans="1:16" s="8" customFormat="1" ht="18.5" x14ac:dyDescent="0.45">
      <c r="A10" s="36"/>
      <c r="B10" s="144"/>
      <c r="C10" s="124"/>
      <c r="D10" s="47"/>
      <c r="E10" s="35"/>
      <c r="F10" s="165"/>
      <c r="G10" s="35"/>
      <c r="H10" s="35"/>
      <c r="I10" s="35"/>
      <c r="J10" s="35"/>
      <c r="K10" s="179"/>
      <c r="L10" s="7"/>
      <c r="M10" s="7"/>
      <c r="N10" s="165"/>
    </row>
    <row r="11" spans="1:16" s="8" customFormat="1" ht="18.5" x14ac:dyDescent="0.45">
      <c r="A11" s="36">
        <v>1</v>
      </c>
      <c r="B11" s="25" t="s">
        <v>240</v>
      </c>
      <c r="C11" s="288">
        <v>70</v>
      </c>
      <c r="D11" s="146" t="s">
        <v>10</v>
      </c>
      <c r="E11" s="289">
        <f>G11+H11+J11+I11</f>
        <v>76.656125000000003</v>
      </c>
      <c r="F11" s="290">
        <f>E11*C11</f>
        <v>5365.92875</v>
      </c>
      <c r="G11" s="291">
        <v>21.157500000000002</v>
      </c>
      <c r="H11" s="289">
        <v>45.5</v>
      </c>
      <c r="I11" s="289">
        <f>IF(D11=0," ",(G11)*(Details!$C$4+Details!$C$8))</f>
        <v>3.1736250000000008</v>
      </c>
      <c r="J11" s="290">
        <f>IF(D11=0," ",(H11)*(Details!$C$6+Details!$C$8))</f>
        <v>6.8250000000000011</v>
      </c>
      <c r="K11" s="291">
        <f>+G11*C11</f>
        <v>1481.0250000000001</v>
      </c>
      <c r="L11" s="289">
        <f>+H11*C11</f>
        <v>3185</v>
      </c>
      <c r="M11" s="289">
        <f>IF(D11=0," ",(I11*C11))</f>
        <v>222.15375000000006</v>
      </c>
      <c r="N11" s="290">
        <f>IF(D11=0," ",(J11*C11))</f>
        <v>477.75000000000006</v>
      </c>
    </row>
    <row r="12" spans="1:16" s="8" customFormat="1" ht="18.5" x14ac:dyDescent="0.45">
      <c r="A12" s="36">
        <f>IF(F12&lt;&gt;"",(LARGE(A$7:A11,1)+1),"")</f>
        <v>2</v>
      </c>
      <c r="B12" s="25" t="s">
        <v>241</v>
      </c>
      <c r="C12" s="288">
        <v>4.5999999999999996</v>
      </c>
      <c r="D12" s="146" t="s">
        <v>10</v>
      </c>
      <c r="E12" s="289">
        <f>G12+H12+J12+I12</f>
        <v>69.917124999999999</v>
      </c>
      <c r="F12" s="290">
        <f>E12*C12</f>
        <v>321.61877499999997</v>
      </c>
      <c r="G12" s="291">
        <v>19.297499999999999</v>
      </c>
      <c r="H12" s="289">
        <v>41.5</v>
      </c>
      <c r="I12" s="289">
        <f>IF(D12=0," ",(G12)*(Details!$C$4+Details!$C$8))</f>
        <v>2.8946250000000004</v>
      </c>
      <c r="J12" s="290">
        <f>IF(D12=0," ",(H12)*(Details!$C$6+Details!$C$8))</f>
        <v>6.2250000000000005</v>
      </c>
      <c r="K12" s="291">
        <f>+G12*C12</f>
        <v>88.768499999999989</v>
      </c>
      <c r="L12" s="289">
        <f>+H12*C12</f>
        <v>190.89999999999998</v>
      </c>
      <c r="M12" s="289">
        <f>IF(D12=0," ",(I12*C12))</f>
        <v>13.315275000000002</v>
      </c>
      <c r="N12" s="290">
        <f>IF(D12=0," ",(J12*C12))</f>
        <v>28.635000000000002</v>
      </c>
    </row>
    <row r="13" spans="1:16" s="8" customFormat="1" ht="18.5" x14ac:dyDescent="0.45">
      <c r="A13" s="61" t="str">
        <f>IF(F13&lt;&gt;"",(LARGE(A$8:A12,1)+1),"")</f>
        <v/>
      </c>
      <c r="B13" s="130"/>
      <c r="C13" s="124"/>
      <c r="D13" s="38"/>
      <c r="E13" s="35"/>
      <c r="F13" s="165"/>
      <c r="G13" s="35"/>
      <c r="H13" s="35"/>
      <c r="I13" s="35"/>
      <c r="J13" s="165"/>
      <c r="K13" s="179"/>
      <c r="L13" s="7"/>
      <c r="M13" s="7"/>
      <c r="N13" s="165"/>
    </row>
    <row r="14" spans="1:16" s="8" customFormat="1" ht="18.5" x14ac:dyDescent="0.45">
      <c r="A14" s="61" t="str">
        <f>IF(F14&lt;&gt;"",(LARGE(A$7:A13,1)+1),"")</f>
        <v/>
      </c>
      <c r="B14" s="130"/>
      <c r="C14" s="145"/>
      <c r="D14" s="38"/>
      <c r="E14" s="35"/>
      <c r="F14" s="165"/>
      <c r="G14" s="46"/>
      <c r="H14" s="35"/>
      <c r="I14" s="35"/>
      <c r="J14" s="165" t="str">
        <f>IF(D14=0," ",(G14+H14)*(Details!$C$4+Details!$C$6))</f>
        <v xml:space="preserve"> </v>
      </c>
      <c r="K14" s="179"/>
      <c r="L14" s="7"/>
      <c r="M14" s="7"/>
      <c r="N14" s="165"/>
      <c r="P14" s="59"/>
    </row>
    <row r="15" spans="1:16" s="8" customFormat="1" ht="19" thickBot="1" x14ac:dyDescent="0.5">
      <c r="A15" s="61"/>
      <c r="B15" s="139"/>
      <c r="C15" s="124"/>
      <c r="D15" s="47"/>
      <c r="E15" s="49" t="s">
        <v>81</v>
      </c>
      <c r="F15" s="166">
        <f>SUM(F6:F14)</f>
        <v>5687.547525</v>
      </c>
      <c r="G15" s="46"/>
      <c r="H15" s="35"/>
      <c r="I15" s="35"/>
      <c r="J15" s="165" t="str">
        <f>IF(D15=0," ",(G15+H15)*(Details!$C$4+Details!$C$6))</f>
        <v xml:space="preserve"> </v>
      </c>
      <c r="K15" s="207">
        <f>SUM(K6:K14)</f>
        <v>1569.7935</v>
      </c>
      <c r="L15" s="208">
        <f>SUM(L6:L14)</f>
        <v>3375.9</v>
      </c>
      <c r="M15" s="208">
        <f>SUM(M6:M14)</f>
        <v>235.46902500000007</v>
      </c>
      <c r="N15" s="166">
        <f>SUM(N6:N14)</f>
        <v>506.38500000000005</v>
      </c>
      <c r="O15" s="42"/>
      <c r="P15" s="59"/>
    </row>
    <row r="16" spans="1:16" s="8" customFormat="1" ht="19.5" thickTop="1" thickBot="1" x14ac:dyDescent="0.5">
      <c r="A16" s="140" t="str">
        <f>IF(F16&lt;&gt;"",(LARGE(A$7:A15,1)+1),"")</f>
        <v/>
      </c>
      <c r="B16" s="141"/>
      <c r="C16" s="136"/>
      <c r="D16" s="50"/>
      <c r="E16" s="52"/>
      <c r="F16" s="54"/>
      <c r="G16" s="53"/>
      <c r="H16" s="52"/>
      <c r="I16" s="52"/>
      <c r="J16" s="54" t="str">
        <f>IF(D16=0," ",(G16+H16)*(Details!$C$4+Details!$C$6))</f>
        <v xml:space="preserve"> </v>
      </c>
      <c r="K16" s="189"/>
      <c r="L16" s="189"/>
      <c r="M16" s="189"/>
      <c r="N16" s="153"/>
      <c r="O16" s="42"/>
    </row>
    <row r="17" spans="10:10" x14ac:dyDescent="0.35">
      <c r="J17" s="6"/>
    </row>
    <row r="18" spans="10:10" x14ac:dyDescent="0.35">
      <c r="J18" s="6"/>
    </row>
  </sheetData>
  <mergeCells count="2">
    <mergeCell ref="G5:J5"/>
    <mergeCell ref="K5:N5"/>
  </mergeCells>
  <conditionalFormatting sqref="G8:G10511">
    <cfRule type="notContainsBlanks" dxfId="25" priority="1">
      <formula>LEN(TRIM(G8))&gt;0</formula>
    </cfRule>
  </conditionalFormatting>
  <conditionalFormatting sqref="H11:H12">
    <cfRule type="notContainsBlanks" dxfId="24" priority="3">
      <formula>LEN(TRIM(H11))&gt;0</formula>
    </cfRule>
  </conditionalFormatting>
  <conditionalFormatting sqref="H8:I10">
    <cfRule type="notContainsBlanks" dxfId="23" priority="16">
      <formula>LEN(TRIM(H8))&gt;0</formula>
    </cfRule>
  </conditionalFormatting>
  <conditionalFormatting sqref="H13:I10411">
    <cfRule type="notContainsBlanks" dxfId="22" priority="11">
      <formula>LEN(TRIM(H13))&gt;0</formula>
    </cfRule>
  </conditionalFormatting>
  <conditionalFormatting sqref="P15">
    <cfRule type="cellIs" dxfId="21" priority="12" operator="equal">
      <formula>0</formula>
    </cfRule>
    <cfRule type="cellIs" dxfId="20" priority="13" operator="notBetween">
      <formula>-0.01</formula>
      <formula>0.01</formula>
    </cfRule>
  </conditionalFormatting>
  <printOptions horizontalCentered="1"/>
  <pageMargins left="0.70866141732283461" right="0.70866141732283461" top="0.31496062992125984" bottom="0.55118110236220474" header="0.31496062992125984" footer="0.31496062992125984"/>
  <pageSetup paperSize="9" scale="31" fitToHeight="0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5">
    <pageSetUpPr fitToPage="1"/>
  </sheetPr>
  <dimension ref="A1:P17"/>
  <sheetViews>
    <sheetView view="pageBreakPreview" zoomScale="60" zoomScaleNormal="55" workbookViewId="0">
      <selection activeCell="N15" sqref="N15"/>
    </sheetView>
  </sheetViews>
  <sheetFormatPr defaultColWidth="9.08984375" defaultRowHeight="15.5" x14ac:dyDescent="0.35"/>
  <cols>
    <col min="1" max="1" width="5.453125" style="6" customWidth="1"/>
    <col min="2" max="2" width="106.08984375" style="8" customWidth="1"/>
    <col min="3" max="3" width="12.453125" style="15" customWidth="1"/>
    <col min="4" max="4" width="8.6328125" style="6" customWidth="1"/>
    <col min="5" max="6" width="15.6328125" style="7" customWidth="1"/>
    <col min="7" max="10" width="14.36328125" style="7" customWidth="1"/>
    <col min="11" max="13" width="15.6328125" style="7" customWidth="1"/>
    <col min="14" max="14" width="15.6328125" style="6" customWidth="1"/>
    <col min="15" max="16384" width="9.08984375" style="6"/>
  </cols>
  <sheetData>
    <row r="1" spans="1:16" x14ac:dyDescent="0.35">
      <c r="A1" s="16"/>
      <c r="B1" s="10"/>
      <c r="C1" s="17"/>
      <c r="D1" s="11"/>
      <c r="E1" s="20"/>
      <c r="F1" s="21"/>
      <c r="G1" s="20"/>
      <c r="H1" s="20"/>
      <c r="I1" s="20"/>
      <c r="J1" s="11"/>
    </row>
    <row r="2" spans="1:16" x14ac:dyDescent="0.35">
      <c r="A2" s="5"/>
      <c r="B2" s="3" t="str">
        <f>+'Qual, Excl &amp; Assum'!B2</f>
        <v>PROJECT: ALTERATIONS TO 41 GREENSIDE STREET ROSEMARKIE, IV10 8AG</v>
      </c>
      <c r="F2" s="22"/>
      <c r="J2" s="6"/>
    </row>
    <row r="3" spans="1:16" x14ac:dyDescent="0.35">
      <c r="A3" s="5"/>
      <c r="B3" s="40" t="str">
        <f>+'Qual, Excl &amp; Assum'!B3</f>
        <v>DATE: 20TH NOVEMBER 2025</v>
      </c>
      <c r="F3" s="22"/>
      <c r="J3" s="6"/>
    </row>
    <row r="4" spans="1:16" s="8" customFormat="1" ht="16" thickBot="1" x14ac:dyDescent="0.4">
      <c r="A4" s="5"/>
      <c r="B4" s="9"/>
      <c r="C4" s="15"/>
      <c r="E4" s="23"/>
      <c r="F4" s="24"/>
      <c r="G4" s="23"/>
      <c r="H4" s="23"/>
      <c r="I4" s="23"/>
      <c r="K4" s="7"/>
      <c r="L4" s="7"/>
      <c r="M4" s="7"/>
    </row>
    <row r="5" spans="1:16" s="8" customFormat="1" ht="38.25" customHeight="1" thickBot="1" x14ac:dyDescent="0.4">
      <c r="A5" s="172"/>
      <c r="B5" s="173" t="s">
        <v>45</v>
      </c>
      <c r="C5" s="177"/>
      <c r="D5" s="175"/>
      <c r="E5" s="176"/>
      <c r="F5" s="181"/>
      <c r="G5" s="367" t="s">
        <v>104</v>
      </c>
      <c r="H5" s="367"/>
      <c r="I5" s="367"/>
      <c r="J5" s="367"/>
      <c r="K5" s="366" t="s">
        <v>105</v>
      </c>
      <c r="L5" s="367"/>
      <c r="M5" s="367"/>
      <c r="N5" s="368"/>
    </row>
    <row r="6" spans="1:16" s="8" customFormat="1" ht="18.5" x14ac:dyDescent="0.45">
      <c r="A6" s="36"/>
      <c r="B6" s="25"/>
      <c r="C6" s="39"/>
      <c r="D6" s="25"/>
      <c r="E6" s="51"/>
      <c r="F6" s="163"/>
      <c r="G6" s="51"/>
      <c r="H6" s="51"/>
      <c r="I6" s="51"/>
      <c r="J6" s="25"/>
      <c r="K6" s="179"/>
      <c r="L6" s="7"/>
      <c r="M6" s="7"/>
      <c r="N6" s="14"/>
    </row>
    <row r="7" spans="1:16" s="8" customFormat="1" ht="18.5" x14ac:dyDescent="0.45">
      <c r="A7" s="36"/>
      <c r="B7" s="3" t="s">
        <v>3</v>
      </c>
      <c r="C7" s="216" t="s">
        <v>8</v>
      </c>
      <c r="D7" s="217" t="s">
        <v>2</v>
      </c>
      <c r="E7" s="41" t="s">
        <v>1</v>
      </c>
      <c r="F7" s="218" t="s">
        <v>0</v>
      </c>
      <c r="G7" s="219" t="s">
        <v>25</v>
      </c>
      <c r="H7" s="219" t="s">
        <v>26</v>
      </c>
      <c r="I7" s="219" t="s">
        <v>138</v>
      </c>
      <c r="J7" s="220" t="s">
        <v>139</v>
      </c>
      <c r="K7" s="219" t="s">
        <v>25</v>
      </c>
      <c r="L7" s="219" t="s">
        <v>26</v>
      </c>
      <c r="M7" s="219" t="s">
        <v>138</v>
      </c>
      <c r="N7" s="220" t="s">
        <v>139</v>
      </c>
    </row>
    <row r="8" spans="1:16" s="8" customFormat="1" ht="18.5" x14ac:dyDescent="0.45">
      <c r="A8" s="36"/>
      <c r="B8" s="137"/>
      <c r="C8" s="127"/>
      <c r="D8" s="48"/>
      <c r="E8" s="49"/>
      <c r="F8" s="164"/>
      <c r="G8" s="46"/>
      <c r="H8" s="35"/>
      <c r="I8" s="35"/>
      <c r="J8" s="48"/>
      <c r="K8" s="179"/>
      <c r="L8" s="7"/>
      <c r="M8" s="7"/>
      <c r="N8" s="165" t="str">
        <f t="shared" ref="N8" si="0">IF(D8=0," ",(J8*C8))</f>
        <v xml:space="preserve"> </v>
      </c>
    </row>
    <row r="9" spans="1:16" s="8" customFormat="1" ht="18.5" x14ac:dyDescent="0.45">
      <c r="A9" s="36"/>
      <c r="B9" s="301" t="s">
        <v>177</v>
      </c>
      <c r="C9" s="124"/>
      <c r="D9" s="38"/>
      <c r="E9" s="35"/>
      <c r="F9" s="165"/>
      <c r="G9" s="35"/>
      <c r="H9" s="35"/>
      <c r="I9" s="35"/>
      <c r="J9" s="165"/>
      <c r="K9" s="179"/>
      <c r="L9" s="7"/>
      <c r="M9" s="7"/>
      <c r="N9" s="165"/>
    </row>
    <row r="10" spans="1:16" s="8" customFormat="1" ht="18.5" x14ac:dyDescent="0.45">
      <c r="A10" s="36"/>
      <c r="B10" s="144"/>
      <c r="C10" s="124"/>
      <c r="D10" s="38"/>
      <c r="E10" s="35"/>
      <c r="F10" s="165"/>
      <c r="G10" s="35"/>
      <c r="H10" s="35"/>
      <c r="I10" s="35"/>
      <c r="J10" s="165"/>
      <c r="K10" s="179"/>
      <c r="L10" s="7"/>
      <c r="M10" s="7"/>
      <c r="N10" s="165"/>
    </row>
    <row r="11" spans="1:16" s="8" customFormat="1" ht="18.5" x14ac:dyDescent="0.45">
      <c r="A11" s="61">
        <v>1</v>
      </c>
      <c r="B11" s="25" t="s">
        <v>242</v>
      </c>
      <c r="C11" s="288">
        <v>26</v>
      </c>
      <c r="D11" s="146" t="s">
        <v>10</v>
      </c>
      <c r="E11" s="289">
        <f t="shared" ref="E11" si="1">G11+H11+J11+I11</f>
        <v>78.340874999999997</v>
      </c>
      <c r="F11" s="290">
        <f t="shared" ref="F11" si="2">E11*C11</f>
        <v>2036.86275</v>
      </c>
      <c r="G11" s="291">
        <v>21.622500000000002</v>
      </c>
      <c r="H11" s="289">
        <v>46.5</v>
      </c>
      <c r="I11" s="289">
        <f>IF(D11=0," ",(G11)*(Details!$C$4+Details!$C$8))</f>
        <v>3.2433750000000008</v>
      </c>
      <c r="J11" s="290">
        <f>IF(D11=0," ",(H11)*(Details!$C$6+Details!$C$8))</f>
        <v>6.9750000000000014</v>
      </c>
      <c r="K11" s="291">
        <f t="shared" ref="K11" si="3">+G11*C11</f>
        <v>562.18500000000006</v>
      </c>
      <c r="L11" s="289">
        <f t="shared" ref="L11" si="4">+H11*C11</f>
        <v>1209</v>
      </c>
      <c r="M11" s="289">
        <f t="shared" ref="M11" si="5">IF(D11=0," ",(I11*C11))</f>
        <v>84.327750000000023</v>
      </c>
      <c r="N11" s="290">
        <f t="shared" ref="N11" si="6">IF(D11=0," ",(J11*C11))</f>
        <v>181.35000000000002</v>
      </c>
    </row>
    <row r="12" spans="1:16" s="8" customFormat="1" ht="18.5" x14ac:dyDescent="0.45">
      <c r="A12" s="61" t="str">
        <f>IF(F12&lt;&gt;"",(LARGE(A$7:A11,1)+1),"")</f>
        <v/>
      </c>
      <c r="B12" s="25"/>
      <c r="C12" s="124"/>
      <c r="D12" s="38"/>
      <c r="E12" s="35"/>
      <c r="F12" s="165"/>
      <c r="G12" s="46"/>
      <c r="H12" s="35"/>
      <c r="I12" s="35"/>
      <c r="J12" s="165"/>
      <c r="K12" s="179"/>
      <c r="L12" s="7"/>
      <c r="M12" s="7"/>
      <c r="N12" s="165"/>
    </row>
    <row r="13" spans="1:16" s="8" customFormat="1" ht="18.5" x14ac:dyDescent="0.45">
      <c r="A13" s="61" t="str">
        <f>IF(F13&lt;&gt;"",(LARGE(A$7:A12,1)+1),"")</f>
        <v/>
      </c>
      <c r="B13" s="130"/>
      <c r="C13" s="39"/>
      <c r="D13" s="38"/>
      <c r="E13" s="35"/>
      <c r="F13" s="165"/>
      <c r="G13" s="46"/>
      <c r="H13" s="35"/>
      <c r="I13" s="35"/>
      <c r="J13" s="165"/>
      <c r="K13" s="179"/>
      <c r="L13" s="7"/>
      <c r="M13" s="7"/>
      <c r="N13" s="165"/>
      <c r="P13" s="59"/>
    </row>
    <row r="14" spans="1:16" s="8" customFormat="1" ht="19" thickBot="1" x14ac:dyDescent="0.5">
      <c r="A14" s="61"/>
      <c r="B14" s="139"/>
      <c r="C14" s="39"/>
      <c r="D14" s="47"/>
      <c r="E14" s="49" t="s">
        <v>81</v>
      </c>
      <c r="F14" s="166">
        <f>SUM(F8:F13)</f>
        <v>2036.86275</v>
      </c>
      <c r="G14" s="46"/>
      <c r="H14" s="35"/>
      <c r="I14" s="35"/>
      <c r="J14" s="165" t="str">
        <f>IF(D14=0," ",(G14+H14)*(Details!$C$4+Details!$C$6))</f>
        <v xml:space="preserve"> </v>
      </c>
      <c r="K14" s="207">
        <f>SUM(K8:K13)</f>
        <v>562.18500000000006</v>
      </c>
      <c r="L14" s="208">
        <f>SUM(L8:L13)</f>
        <v>1209</v>
      </c>
      <c r="M14" s="208">
        <f>SUM(M8:M13)</f>
        <v>84.327750000000023</v>
      </c>
      <c r="N14" s="166">
        <f>SUM(N8:N13)</f>
        <v>181.35000000000002</v>
      </c>
      <c r="O14" s="42"/>
      <c r="P14" s="59"/>
    </row>
    <row r="15" spans="1:16" s="8" customFormat="1" ht="19.5" thickTop="1" thickBot="1" x14ac:dyDescent="0.5">
      <c r="A15" s="140" t="str">
        <f>IF(F15&lt;&gt;"",(LARGE(A$7:A14,1)+1),"")</f>
        <v/>
      </c>
      <c r="B15" s="141"/>
      <c r="C15" s="142"/>
      <c r="D15" s="50"/>
      <c r="E15" s="52"/>
      <c r="F15" s="54"/>
      <c r="G15" s="53"/>
      <c r="H15" s="52"/>
      <c r="I15" s="52"/>
      <c r="J15" s="54" t="str">
        <f>IF(D15=0," ",(G15+H15)*(Details!$C$4+Details!$C$6))</f>
        <v xml:space="preserve"> </v>
      </c>
      <c r="K15" s="189"/>
      <c r="L15" s="189"/>
      <c r="M15" s="189"/>
      <c r="N15" s="153"/>
      <c r="O15" s="42"/>
    </row>
    <row r="16" spans="1:16" x14ac:dyDescent="0.35">
      <c r="J16" s="6"/>
    </row>
    <row r="17" spans="10:10" x14ac:dyDescent="0.35">
      <c r="J17" s="6"/>
    </row>
  </sheetData>
  <mergeCells count="2">
    <mergeCell ref="G5:J5"/>
    <mergeCell ref="K5:N5"/>
  </mergeCells>
  <conditionalFormatting sqref="G8:G10510">
    <cfRule type="notContainsBlanks" dxfId="19" priority="1">
      <formula>LEN(TRIM(G8))&gt;0</formula>
    </cfRule>
  </conditionalFormatting>
  <conditionalFormatting sqref="H11">
    <cfRule type="notContainsBlanks" dxfId="18" priority="3">
      <formula>LEN(TRIM(H11))&gt;0</formula>
    </cfRule>
  </conditionalFormatting>
  <conditionalFormatting sqref="H8:I10">
    <cfRule type="notContainsBlanks" dxfId="17" priority="17">
      <formula>LEN(TRIM(H8))&gt;0</formula>
    </cfRule>
  </conditionalFormatting>
  <conditionalFormatting sqref="H12:I10510">
    <cfRule type="notContainsBlanks" dxfId="16" priority="27">
      <formula>LEN(TRIM(H12))&gt;0</formula>
    </cfRule>
  </conditionalFormatting>
  <conditionalFormatting sqref="P14">
    <cfRule type="cellIs" dxfId="15" priority="28" operator="equal">
      <formula>0</formula>
    </cfRule>
    <cfRule type="cellIs" dxfId="14" priority="29" operator="notBetween">
      <formula>-0.01</formula>
      <formula>0.01</formula>
    </cfRule>
  </conditionalFormatting>
  <printOptions horizontalCentered="1"/>
  <pageMargins left="0.70866141732283461" right="0.70866141732283461" top="0.31496062992125984" bottom="0.55118110236220474" header="0.31496062992125984" footer="0.31496062992125984"/>
  <pageSetup paperSize="9" scale="30" fitToHeight="0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6">
    <pageSetUpPr fitToPage="1"/>
  </sheetPr>
  <dimension ref="A1:Q21"/>
  <sheetViews>
    <sheetView view="pageBreakPreview" zoomScale="60" zoomScaleNormal="55" workbookViewId="0">
      <selection activeCell="N19" sqref="N19"/>
    </sheetView>
  </sheetViews>
  <sheetFormatPr defaultColWidth="9.08984375" defaultRowHeight="15.5" x14ac:dyDescent="0.35"/>
  <cols>
    <col min="1" max="1" width="8.81640625" style="6" customWidth="1"/>
    <col min="2" max="2" width="80.81640625" style="8" customWidth="1"/>
    <col min="3" max="3" width="12.453125" style="15" customWidth="1"/>
    <col min="4" max="4" width="8.6328125" style="6" customWidth="1"/>
    <col min="5" max="6" width="15.6328125" style="7" customWidth="1"/>
    <col min="7" max="10" width="14.36328125" style="7" customWidth="1"/>
    <col min="11" max="13" width="15.6328125" style="7" customWidth="1"/>
    <col min="14" max="14" width="15.6328125" style="6" customWidth="1"/>
    <col min="15" max="16384" width="9.08984375" style="6"/>
  </cols>
  <sheetData>
    <row r="1" spans="1:17" x14ac:dyDescent="0.35">
      <c r="A1" s="16"/>
      <c r="B1" s="10"/>
      <c r="C1" s="17"/>
      <c r="D1" s="11"/>
      <c r="E1" s="20"/>
      <c r="F1" s="21"/>
      <c r="G1" s="63"/>
      <c r="H1" s="20"/>
      <c r="I1" s="20"/>
      <c r="J1" s="11"/>
    </row>
    <row r="2" spans="1:17" x14ac:dyDescent="0.35">
      <c r="A2" s="5"/>
      <c r="B2" s="3" t="str">
        <f>+'Qual, Excl &amp; Assum'!B2</f>
        <v>PROJECT: ALTERATIONS TO 41 GREENSIDE STREET ROSEMARKIE, IV10 8AG</v>
      </c>
      <c r="F2" s="22"/>
      <c r="G2" s="59"/>
      <c r="J2" s="6"/>
    </row>
    <row r="3" spans="1:17" x14ac:dyDescent="0.35">
      <c r="A3" s="5"/>
      <c r="B3" s="40" t="str">
        <f>+'Qual, Excl &amp; Assum'!B3</f>
        <v>DATE: 20TH NOVEMBER 2025</v>
      </c>
      <c r="F3" s="22"/>
      <c r="G3" s="59"/>
      <c r="J3" s="6"/>
    </row>
    <row r="4" spans="1:17" s="8" customFormat="1" ht="16" thickBot="1" x14ac:dyDescent="0.4">
      <c r="A4" s="5"/>
      <c r="B4" s="9"/>
      <c r="C4" s="15"/>
      <c r="E4" s="23"/>
      <c r="F4" s="24"/>
      <c r="G4" s="64"/>
      <c r="H4" s="23"/>
      <c r="I4" s="23"/>
      <c r="K4" s="7"/>
      <c r="L4" s="7"/>
      <c r="M4" s="7"/>
    </row>
    <row r="5" spans="1:17" s="8" customFormat="1" ht="38.25" customHeight="1" thickBot="1" x14ac:dyDescent="0.4">
      <c r="A5" s="172"/>
      <c r="B5" s="173" t="s">
        <v>18</v>
      </c>
      <c r="C5" s="177"/>
      <c r="D5" s="175"/>
      <c r="E5" s="176"/>
      <c r="F5" s="181"/>
      <c r="G5" s="367" t="s">
        <v>104</v>
      </c>
      <c r="H5" s="367"/>
      <c r="I5" s="367"/>
      <c r="J5" s="368"/>
      <c r="K5" s="366" t="s">
        <v>105</v>
      </c>
      <c r="L5" s="367"/>
      <c r="M5" s="367"/>
      <c r="N5" s="368"/>
    </row>
    <row r="6" spans="1:17" s="8" customFormat="1" ht="18.5" x14ac:dyDescent="0.45">
      <c r="A6" s="36"/>
      <c r="B6" s="25"/>
      <c r="C6" s="39"/>
      <c r="D6" s="25"/>
      <c r="E6" s="51"/>
      <c r="F6" s="163"/>
      <c r="G6" s="211"/>
      <c r="H6" s="51"/>
      <c r="I6" s="51"/>
      <c r="J6" s="168"/>
      <c r="K6" s="179"/>
      <c r="L6" s="7"/>
      <c r="M6" s="7"/>
      <c r="N6" s="14"/>
    </row>
    <row r="7" spans="1:17" s="8" customFormat="1" ht="18.5" x14ac:dyDescent="0.45">
      <c r="A7" s="36"/>
      <c r="B7" s="3" t="s">
        <v>3</v>
      </c>
      <c r="C7" s="216" t="s">
        <v>8</v>
      </c>
      <c r="D7" s="217" t="s">
        <v>2</v>
      </c>
      <c r="E7" s="41" t="s">
        <v>1</v>
      </c>
      <c r="F7" s="218" t="s">
        <v>0</v>
      </c>
      <c r="G7" s="219" t="s">
        <v>25</v>
      </c>
      <c r="H7" s="219" t="s">
        <v>26</v>
      </c>
      <c r="I7" s="219" t="s">
        <v>138</v>
      </c>
      <c r="J7" s="220" t="s">
        <v>139</v>
      </c>
      <c r="K7" s="219" t="s">
        <v>25</v>
      </c>
      <c r="L7" s="219" t="s">
        <v>26</v>
      </c>
      <c r="M7" s="219" t="s">
        <v>138</v>
      </c>
      <c r="N7" s="220" t="s">
        <v>139</v>
      </c>
    </row>
    <row r="8" spans="1:17" s="8" customFormat="1" ht="18.5" x14ac:dyDescent="0.45">
      <c r="A8" s="36"/>
      <c r="B8" s="137"/>
      <c r="C8" s="127"/>
      <c r="D8" s="48"/>
      <c r="E8" s="49"/>
      <c r="F8" s="164"/>
      <c r="G8" s="46"/>
      <c r="H8" s="35"/>
      <c r="I8" s="35"/>
      <c r="J8" s="169"/>
      <c r="K8" s="65"/>
      <c r="L8" s="7"/>
      <c r="M8" s="7"/>
      <c r="N8" s="165" t="str">
        <f t="shared" ref="N8" si="0">IF(D8=0," ",(J8*C8))</f>
        <v xml:space="preserve"> </v>
      </c>
    </row>
    <row r="9" spans="1:17" s="8" customFormat="1" ht="18.5" x14ac:dyDescent="0.45">
      <c r="A9" s="36"/>
      <c r="B9" s="301" t="s">
        <v>243</v>
      </c>
      <c r="C9" s="124"/>
      <c r="D9" s="47"/>
      <c r="E9" s="35"/>
      <c r="F9" s="165"/>
      <c r="G9" s="46"/>
      <c r="H9" s="35"/>
      <c r="I9" s="35"/>
      <c r="J9" s="165"/>
      <c r="K9" s="193"/>
      <c r="L9" s="7"/>
      <c r="M9" s="7"/>
      <c r="N9" s="165"/>
    </row>
    <row r="10" spans="1:17" s="8" customFormat="1" ht="18.5" x14ac:dyDescent="0.45">
      <c r="A10" s="36"/>
      <c r="B10" s="144"/>
      <c r="C10" s="124"/>
      <c r="D10" s="47"/>
      <c r="E10" s="35"/>
      <c r="F10" s="165"/>
      <c r="G10" s="35"/>
      <c r="H10" s="35"/>
      <c r="I10" s="35"/>
      <c r="J10" s="165"/>
      <c r="K10" s="193"/>
      <c r="L10" s="7"/>
      <c r="M10" s="7"/>
      <c r="N10" s="165"/>
    </row>
    <row r="11" spans="1:17" s="8" customFormat="1" ht="18" customHeight="1" x14ac:dyDescent="0.45">
      <c r="A11" s="36">
        <v>1</v>
      </c>
      <c r="B11" s="25" t="s">
        <v>244</v>
      </c>
      <c r="C11" s="288">
        <v>6</v>
      </c>
      <c r="D11" s="146" t="s">
        <v>12</v>
      </c>
      <c r="E11" s="289">
        <f>G11+H11+J11+I11</f>
        <v>1667.5</v>
      </c>
      <c r="F11" s="290">
        <f>E11*C11</f>
        <v>10005</v>
      </c>
      <c r="G11" s="291">
        <v>1450</v>
      </c>
      <c r="H11" s="289"/>
      <c r="I11" s="289">
        <f>IF(D11=0," ",(G11)*(Details!$C$4+Details!$C$8))</f>
        <v>217.50000000000003</v>
      </c>
      <c r="J11" s="290">
        <f>IF(D11=0," ",(H11)*(Details!$C$6+Details!$C$8))</f>
        <v>0</v>
      </c>
      <c r="K11" s="291">
        <f>+G11*C11</f>
        <v>8700</v>
      </c>
      <c r="L11" s="289">
        <f>+H11*C11</f>
        <v>0</v>
      </c>
      <c r="M11" s="289">
        <f>IF(D11=0," ",(I11*C11))</f>
        <v>1305.0000000000002</v>
      </c>
      <c r="N11" s="290">
        <f>IF(D11=0," ",(J11*C11))</f>
        <v>0</v>
      </c>
    </row>
    <row r="12" spans="1:17" s="8" customFormat="1" ht="18" customHeight="1" x14ac:dyDescent="0.45">
      <c r="A12" s="36"/>
      <c r="B12" s="144"/>
      <c r="C12" s="124"/>
      <c r="D12" s="47"/>
      <c r="E12" s="35"/>
      <c r="F12" s="165"/>
      <c r="G12" s="35"/>
      <c r="H12" s="35"/>
      <c r="I12" s="35"/>
      <c r="J12" s="165"/>
      <c r="K12" s="62"/>
      <c r="L12" s="78"/>
      <c r="M12" s="78"/>
      <c r="N12" s="165"/>
    </row>
    <row r="13" spans="1:17" s="25" customFormat="1" ht="18.5" x14ac:dyDescent="0.45">
      <c r="A13" s="61" t="str">
        <f>IF(F13&lt;&gt;"",(LARGE(A$7:A12,1)+1),"")</f>
        <v/>
      </c>
      <c r="B13" s="301" t="s">
        <v>245</v>
      </c>
      <c r="C13" s="124"/>
      <c r="D13" s="47"/>
      <c r="E13" s="35"/>
      <c r="F13" s="165"/>
      <c r="G13" s="35"/>
      <c r="H13" s="35"/>
      <c r="I13" s="35"/>
      <c r="J13" s="165"/>
      <c r="K13" s="46"/>
      <c r="L13" s="35"/>
      <c r="M13" s="35"/>
      <c r="N13" s="165"/>
      <c r="P13" s="8"/>
      <c r="Q13" s="8"/>
    </row>
    <row r="14" spans="1:17" s="25" customFormat="1" ht="18.5" x14ac:dyDescent="0.45">
      <c r="A14" s="61" t="str">
        <f>IF(F14&lt;&gt;"",(LARGE(A$7:A12,1)+1),"")</f>
        <v/>
      </c>
      <c r="B14" s="144"/>
      <c r="C14" s="124"/>
      <c r="D14" s="47"/>
      <c r="E14" s="35"/>
      <c r="F14" s="165"/>
      <c r="G14" s="35"/>
      <c r="H14" s="35"/>
      <c r="I14" s="35"/>
      <c r="J14" s="165"/>
      <c r="K14" s="46"/>
      <c r="L14" s="35"/>
      <c r="M14" s="35"/>
      <c r="N14" s="165"/>
      <c r="P14" s="8"/>
      <c r="Q14" s="8"/>
    </row>
    <row r="15" spans="1:17" s="25" customFormat="1" ht="18.5" x14ac:dyDescent="0.45">
      <c r="A15" s="61">
        <f>IF(F15&lt;&gt;"",(LARGE(A$7:A13,1)+1),"")</f>
        <v>2</v>
      </c>
      <c r="B15" s="25" t="s">
        <v>246</v>
      </c>
      <c r="C15" s="288">
        <v>3</v>
      </c>
      <c r="D15" s="146" t="s">
        <v>12</v>
      </c>
      <c r="E15" s="289">
        <f t="shared" ref="E15:E16" si="1">G15+H15+J15+I15</f>
        <v>879.75</v>
      </c>
      <c r="F15" s="290">
        <f t="shared" ref="F15:F16" si="2">E15*C15</f>
        <v>2639.25</v>
      </c>
      <c r="G15" s="291">
        <v>765</v>
      </c>
      <c r="H15" s="289"/>
      <c r="I15" s="289">
        <f>IF(D15=0," ",(G15)*(Details!$C$4+Details!$C$8))</f>
        <v>114.75000000000001</v>
      </c>
      <c r="J15" s="290">
        <f>IF(D15=0," ",(H15)*(Details!$C$6+Details!$C$8))</f>
        <v>0</v>
      </c>
      <c r="K15" s="291">
        <f t="shared" ref="K15:K16" si="3">+G15*C15</f>
        <v>2295</v>
      </c>
      <c r="L15" s="289">
        <f t="shared" ref="L15:L16" si="4">+H15*C15</f>
        <v>0</v>
      </c>
      <c r="M15" s="289">
        <f t="shared" ref="M15:M16" si="5">IF(D15=0," ",(I15*C15))</f>
        <v>344.25000000000006</v>
      </c>
      <c r="N15" s="290">
        <f t="shared" ref="N15:N16" si="6">IF(D15=0," ",(J15*C15))</f>
        <v>0</v>
      </c>
      <c r="P15" s="8"/>
      <c r="Q15" s="8"/>
    </row>
    <row r="16" spans="1:17" s="25" customFormat="1" ht="18.5" x14ac:dyDescent="0.45">
      <c r="A16" s="61">
        <v>3</v>
      </c>
      <c r="B16" s="25" t="s">
        <v>247</v>
      </c>
      <c r="C16" s="288">
        <v>4</v>
      </c>
      <c r="D16" s="146" t="s">
        <v>12</v>
      </c>
      <c r="E16" s="289">
        <f t="shared" si="1"/>
        <v>488.75</v>
      </c>
      <c r="F16" s="290">
        <f t="shared" si="2"/>
        <v>1955</v>
      </c>
      <c r="G16" s="291">
        <v>425</v>
      </c>
      <c r="H16" s="289"/>
      <c r="I16" s="289">
        <f>IF(D16=0," ",(G16)*(Details!$C$4+Details!$C$8))</f>
        <v>63.750000000000007</v>
      </c>
      <c r="J16" s="290">
        <f>IF(D16=0," ",(H16)*(Details!$C$6+Details!$C$8))</f>
        <v>0</v>
      </c>
      <c r="K16" s="291">
        <f t="shared" si="3"/>
        <v>1700</v>
      </c>
      <c r="L16" s="289">
        <f t="shared" si="4"/>
        <v>0</v>
      </c>
      <c r="M16" s="289">
        <f t="shared" si="5"/>
        <v>255.00000000000003</v>
      </c>
      <c r="N16" s="290">
        <f t="shared" si="6"/>
        <v>0</v>
      </c>
      <c r="P16" s="8"/>
      <c r="Q16" s="8"/>
    </row>
    <row r="17" spans="1:16" s="25" customFormat="1" ht="18.5" x14ac:dyDescent="0.45">
      <c r="A17" s="61"/>
      <c r="B17" s="130"/>
      <c r="C17" s="124"/>
      <c r="D17" s="47"/>
      <c r="E17" s="35"/>
      <c r="F17" s="165"/>
      <c r="G17" s="35"/>
      <c r="H17" s="35"/>
      <c r="I17" s="35"/>
      <c r="J17" s="165"/>
      <c r="K17" s="46"/>
      <c r="L17" s="35"/>
      <c r="M17" s="35"/>
      <c r="N17" s="165"/>
    </row>
    <row r="18" spans="1:16" s="8" customFormat="1" ht="19" thickBot="1" x14ac:dyDescent="0.5">
      <c r="A18" s="61"/>
      <c r="B18" s="139"/>
      <c r="C18" s="39"/>
      <c r="D18" s="47"/>
      <c r="E18" s="49" t="s">
        <v>81</v>
      </c>
      <c r="F18" s="166">
        <f>SUM(F6:F17)</f>
        <v>14599.25</v>
      </c>
      <c r="G18" s="46"/>
      <c r="H18" s="35"/>
      <c r="I18" s="35"/>
      <c r="J18" s="165" t="str">
        <f>IF(D18=0," ",(G18+H18)*(Details!$C$4+Details!$C$6))</f>
        <v xml:space="preserve"> </v>
      </c>
      <c r="K18" s="207">
        <f>SUM(K6:K17)</f>
        <v>12695</v>
      </c>
      <c r="L18" s="208">
        <f>SUM(L6:L17)</f>
        <v>0</v>
      </c>
      <c r="M18" s="208">
        <f>SUM(M6:M17)</f>
        <v>1904.2500000000002</v>
      </c>
      <c r="N18" s="166">
        <f>SUM(N6:N17)</f>
        <v>0</v>
      </c>
      <c r="O18" s="42"/>
      <c r="P18" s="59"/>
    </row>
    <row r="19" spans="1:16" s="8" customFormat="1" ht="19.5" thickTop="1" thickBot="1" x14ac:dyDescent="0.5">
      <c r="A19" s="140" t="str">
        <f>IF(F19&lt;&gt;"",(LARGE(A$7:A18,1)+1),"")</f>
        <v/>
      </c>
      <c r="B19" s="141"/>
      <c r="C19" s="142"/>
      <c r="D19" s="50"/>
      <c r="E19" s="52"/>
      <c r="F19" s="54"/>
      <c r="G19" s="53"/>
      <c r="H19" s="52"/>
      <c r="I19" s="52"/>
      <c r="J19" s="54" t="str">
        <f>IF(D19=0," ",(G19+H19)*(Details!$C$4+Details!$C$6))</f>
        <v xml:space="preserve"> </v>
      </c>
      <c r="K19" s="189"/>
      <c r="L19" s="189"/>
      <c r="M19" s="189"/>
      <c r="N19" s="153"/>
      <c r="O19" s="42"/>
    </row>
    <row r="20" spans="1:16" x14ac:dyDescent="0.35">
      <c r="J20" s="6"/>
    </row>
    <row r="21" spans="1:16" x14ac:dyDescent="0.35">
      <c r="J21" s="6"/>
    </row>
  </sheetData>
  <mergeCells count="2">
    <mergeCell ref="G5:J5"/>
    <mergeCell ref="K5:N5"/>
  </mergeCells>
  <conditionalFormatting sqref="G8:G10514">
    <cfRule type="notContainsBlanks" dxfId="13" priority="1">
      <formula>LEN(TRIM(G8))&gt;0</formula>
    </cfRule>
  </conditionalFormatting>
  <conditionalFormatting sqref="H11">
    <cfRule type="notContainsBlanks" dxfId="12" priority="4">
      <formula>LEN(TRIM(H11))&gt;0</formula>
    </cfRule>
  </conditionalFormatting>
  <conditionalFormatting sqref="H15:H16">
    <cfRule type="notContainsBlanks" dxfId="11" priority="2">
      <formula>LEN(TRIM(H15))&gt;0</formula>
    </cfRule>
  </conditionalFormatting>
  <conditionalFormatting sqref="H8:I10">
    <cfRule type="notContainsBlanks" dxfId="10" priority="33">
      <formula>LEN(TRIM(H8))&gt;0</formula>
    </cfRule>
  </conditionalFormatting>
  <conditionalFormatting sqref="H12:I14 H17:I10514">
    <cfRule type="notContainsBlanks" dxfId="9" priority="27">
      <formula>LEN(TRIM(H12))&gt;0</formula>
    </cfRule>
  </conditionalFormatting>
  <conditionalFormatting sqref="P18">
    <cfRule type="cellIs" dxfId="8" priority="34" operator="equal">
      <formula>0</formula>
    </cfRule>
    <cfRule type="cellIs" dxfId="7" priority="35" operator="notBetween">
      <formula>-0.01</formula>
      <formula>0.01</formula>
    </cfRule>
  </conditionalFormatting>
  <printOptions horizontalCentered="1"/>
  <pageMargins left="0.70866141732283461" right="0.70866141732283461" top="0.31496062992125984" bottom="0.55118110236220474" header="0.31496062992125984" footer="0.31496062992125984"/>
  <pageSetup paperSize="9" scale="33" fitToHeight="0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7">
    <pageSetUpPr fitToPage="1"/>
  </sheetPr>
  <dimension ref="A1:P21"/>
  <sheetViews>
    <sheetView view="pageBreakPreview" zoomScale="60" zoomScaleNormal="50" workbookViewId="0">
      <selection activeCell="N19" sqref="N19"/>
    </sheetView>
  </sheetViews>
  <sheetFormatPr defaultColWidth="9.08984375" defaultRowHeight="15.5" x14ac:dyDescent="0.35"/>
  <cols>
    <col min="1" max="1" width="5.453125" style="6" customWidth="1"/>
    <col min="2" max="2" width="116.453125" style="8" customWidth="1"/>
    <col min="3" max="3" width="12.453125" style="15" customWidth="1"/>
    <col min="4" max="4" width="8.6328125" style="6" customWidth="1"/>
    <col min="5" max="6" width="15.6328125" style="7" customWidth="1"/>
    <col min="7" max="10" width="14.36328125" style="7" customWidth="1"/>
    <col min="11" max="13" width="15.6328125" style="7" customWidth="1"/>
    <col min="14" max="14" width="15.6328125" style="6" customWidth="1"/>
    <col min="15" max="16384" width="9.08984375" style="6"/>
  </cols>
  <sheetData>
    <row r="1" spans="1:14" x14ac:dyDescent="0.35">
      <c r="A1" s="16"/>
      <c r="B1" s="10"/>
      <c r="C1" s="17"/>
      <c r="D1" s="11"/>
      <c r="E1" s="20"/>
      <c r="F1" s="21"/>
      <c r="G1" s="20"/>
      <c r="H1" s="20"/>
      <c r="I1" s="20"/>
      <c r="J1" s="11"/>
    </row>
    <row r="2" spans="1:14" x14ac:dyDescent="0.35">
      <c r="A2" s="5"/>
      <c r="B2" s="3" t="str">
        <f>+'Qual, Excl &amp; Assum'!B2</f>
        <v>PROJECT: ALTERATIONS TO 41 GREENSIDE STREET ROSEMARKIE, IV10 8AG</v>
      </c>
      <c r="F2" s="22"/>
      <c r="J2" s="6"/>
    </row>
    <row r="3" spans="1:14" x14ac:dyDescent="0.35">
      <c r="A3" s="5"/>
      <c r="B3" s="40" t="str">
        <f>+'Qual, Excl &amp; Assum'!B3</f>
        <v>DATE: 20TH NOVEMBER 2025</v>
      </c>
      <c r="F3" s="22"/>
      <c r="J3" s="6"/>
    </row>
    <row r="4" spans="1:14" s="8" customFormat="1" ht="16" thickBot="1" x14ac:dyDescent="0.4">
      <c r="A4" s="5"/>
      <c r="B4" s="9"/>
      <c r="C4" s="15"/>
      <c r="E4" s="23"/>
      <c r="F4" s="24"/>
      <c r="G4" s="23"/>
      <c r="H4" s="23"/>
      <c r="I4" s="23"/>
      <c r="K4" s="7"/>
      <c r="L4" s="7"/>
      <c r="M4" s="7"/>
    </row>
    <row r="5" spans="1:14" s="8" customFormat="1" ht="38.25" customHeight="1" thickBot="1" x14ac:dyDescent="0.4">
      <c r="A5" s="172"/>
      <c r="B5" s="173" t="s">
        <v>17</v>
      </c>
      <c r="C5" s="177"/>
      <c r="D5" s="175"/>
      <c r="E5" s="176"/>
      <c r="F5" s="181"/>
      <c r="G5" s="366" t="s">
        <v>104</v>
      </c>
      <c r="H5" s="367"/>
      <c r="I5" s="367"/>
      <c r="J5" s="368"/>
      <c r="K5" s="366" t="s">
        <v>105</v>
      </c>
      <c r="L5" s="367"/>
      <c r="M5" s="367"/>
      <c r="N5" s="368"/>
    </row>
    <row r="6" spans="1:14" s="8" customFormat="1" ht="18.5" x14ac:dyDescent="0.45">
      <c r="A6" s="36"/>
      <c r="B6" s="25"/>
      <c r="C6" s="39"/>
      <c r="D6" s="25"/>
      <c r="E6" s="51"/>
      <c r="F6" s="163"/>
      <c r="G6" s="210"/>
      <c r="H6" s="51"/>
      <c r="I6" s="51"/>
      <c r="J6" s="168"/>
      <c r="K6" s="179"/>
      <c r="L6" s="7"/>
      <c r="M6" s="7"/>
      <c r="N6" s="14"/>
    </row>
    <row r="7" spans="1:14" s="8" customFormat="1" ht="18.5" x14ac:dyDescent="0.45">
      <c r="A7" s="36"/>
      <c r="B7" s="3" t="s">
        <v>3</v>
      </c>
      <c r="C7" s="216" t="s">
        <v>8</v>
      </c>
      <c r="D7" s="217" t="s">
        <v>2</v>
      </c>
      <c r="E7" s="41" t="s">
        <v>1</v>
      </c>
      <c r="F7" s="218" t="s">
        <v>0</v>
      </c>
      <c r="G7" s="219" t="s">
        <v>25</v>
      </c>
      <c r="H7" s="219" t="s">
        <v>26</v>
      </c>
      <c r="I7" s="219" t="s">
        <v>138</v>
      </c>
      <c r="J7" s="220" t="s">
        <v>139</v>
      </c>
      <c r="K7" s="219" t="s">
        <v>25</v>
      </c>
      <c r="L7" s="219" t="s">
        <v>26</v>
      </c>
      <c r="M7" s="219" t="s">
        <v>138</v>
      </c>
      <c r="N7" s="220" t="s">
        <v>139</v>
      </c>
    </row>
    <row r="8" spans="1:14" s="8" customFormat="1" ht="18.5" x14ac:dyDescent="0.45">
      <c r="A8" s="36"/>
      <c r="B8" s="137"/>
      <c r="C8" s="127"/>
      <c r="D8" s="48"/>
      <c r="E8" s="49"/>
      <c r="F8" s="164"/>
      <c r="G8" s="46"/>
      <c r="H8" s="35"/>
      <c r="I8" s="35"/>
      <c r="J8" s="169"/>
      <c r="K8" s="179"/>
      <c r="L8" s="7"/>
      <c r="M8" s="7"/>
      <c r="N8" s="165" t="str">
        <f t="shared" ref="N8" si="0">IF(D8=0," ",(J8*C8))</f>
        <v xml:space="preserve"> </v>
      </c>
    </row>
    <row r="9" spans="1:14" s="8" customFormat="1" ht="18.5" x14ac:dyDescent="0.45">
      <c r="A9" s="36"/>
      <c r="B9" s="301" t="s">
        <v>249</v>
      </c>
      <c r="C9" s="124"/>
      <c r="D9" s="38"/>
      <c r="E9" s="35"/>
      <c r="F9" s="165"/>
      <c r="G9" s="46"/>
      <c r="H9" s="35"/>
      <c r="I9" s="35"/>
      <c r="J9" s="165"/>
      <c r="K9" s="179"/>
      <c r="L9" s="7"/>
      <c r="M9" s="7"/>
      <c r="N9" s="165"/>
    </row>
    <row r="10" spans="1:14" s="8" customFormat="1" ht="18.5" x14ac:dyDescent="0.45">
      <c r="A10" s="36"/>
      <c r="B10" s="129"/>
      <c r="C10" s="124"/>
      <c r="D10" s="38"/>
      <c r="E10" s="35"/>
      <c r="F10" s="165"/>
      <c r="G10" s="46"/>
      <c r="H10" s="35"/>
      <c r="I10" s="35"/>
      <c r="J10" s="165"/>
      <c r="K10" s="179"/>
      <c r="L10" s="7"/>
      <c r="M10" s="7"/>
      <c r="N10" s="165"/>
    </row>
    <row r="11" spans="1:14" s="8" customFormat="1" ht="18.5" x14ac:dyDescent="0.45">
      <c r="A11" s="36">
        <v>1</v>
      </c>
      <c r="B11" s="25" t="s">
        <v>248</v>
      </c>
      <c r="C11" s="288">
        <v>2</v>
      </c>
      <c r="D11" s="146" t="s">
        <v>12</v>
      </c>
      <c r="E11" s="289">
        <f>G11+H11+J11+I11</f>
        <v>6486.2875000000004</v>
      </c>
      <c r="F11" s="290">
        <f>E11*C11</f>
        <v>12972.575000000001</v>
      </c>
      <c r="G11" s="291">
        <v>1790.25</v>
      </c>
      <c r="H11" s="289">
        <v>3850</v>
      </c>
      <c r="I11" s="289">
        <f>IF(D11=0," ",(G11)*(Details!$C$4+Details!$C$8))</f>
        <v>268.53750000000002</v>
      </c>
      <c r="J11" s="290">
        <f>IF(D11=0," ",(H11)*(Details!$C$6+Details!$C$8))</f>
        <v>577.50000000000011</v>
      </c>
      <c r="K11" s="291">
        <f>+G11*C11</f>
        <v>3580.5</v>
      </c>
      <c r="L11" s="289">
        <f>+H11*C11</f>
        <v>7700</v>
      </c>
      <c r="M11" s="289">
        <f>IF(D11=0," ",(I11*C11))</f>
        <v>537.07500000000005</v>
      </c>
      <c r="N11" s="290">
        <f>IF(D11=0," ",(J11*C11))</f>
        <v>1155.0000000000002</v>
      </c>
    </row>
    <row r="12" spans="1:14" s="8" customFormat="1" ht="18.5" x14ac:dyDescent="0.45">
      <c r="A12" s="36"/>
      <c r="B12" s="129"/>
      <c r="C12" s="124"/>
      <c r="D12" s="38"/>
      <c r="E12" s="35"/>
      <c r="F12" s="165"/>
      <c r="G12" s="291"/>
      <c r="H12" s="35"/>
      <c r="I12" s="35"/>
      <c r="J12" s="165"/>
      <c r="K12" s="46"/>
      <c r="L12" s="35"/>
      <c r="M12" s="35"/>
      <c r="N12" s="165" t="str">
        <f t="shared" ref="N12:N15" si="1">IF(D12=0," ",(J12*C12))</f>
        <v xml:space="preserve"> </v>
      </c>
    </row>
    <row r="13" spans="1:14" s="8" customFormat="1" ht="18.5" x14ac:dyDescent="0.45">
      <c r="A13" s="61"/>
      <c r="B13" s="301" t="s">
        <v>250</v>
      </c>
      <c r="C13" s="124"/>
      <c r="D13" s="38"/>
      <c r="E13" s="35"/>
      <c r="F13" s="165"/>
      <c r="G13" s="291"/>
      <c r="H13" s="35"/>
      <c r="I13" s="35"/>
      <c r="J13" s="165"/>
      <c r="K13" s="46"/>
      <c r="L13" s="35"/>
      <c r="M13" s="35"/>
      <c r="N13" s="165" t="str">
        <f t="shared" si="1"/>
        <v xml:space="preserve"> </v>
      </c>
    </row>
    <row r="14" spans="1:14" s="8" customFormat="1" ht="18.5" x14ac:dyDescent="0.45">
      <c r="A14" s="61"/>
      <c r="B14" s="138"/>
      <c r="C14" s="124"/>
      <c r="D14" s="38"/>
      <c r="E14" s="35"/>
      <c r="F14" s="165"/>
      <c r="G14" s="291"/>
      <c r="H14" s="35"/>
      <c r="I14" s="35"/>
      <c r="J14" s="165"/>
      <c r="K14" s="46"/>
      <c r="L14" s="35"/>
      <c r="M14" s="35"/>
      <c r="N14" s="165" t="str">
        <f t="shared" si="1"/>
        <v xml:space="preserve"> </v>
      </c>
    </row>
    <row r="15" spans="1:14" s="8" customFormat="1" ht="18.5" x14ac:dyDescent="0.45">
      <c r="A15" s="61">
        <f>IF(F15&lt;&gt;"",(LARGE(A$7:A13,1)+1),"")</f>
        <v>2</v>
      </c>
      <c r="B15" s="25" t="s">
        <v>251</v>
      </c>
      <c r="C15" s="288">
        <v>46</v>
      </c>
      <c r="D15" s="146" t="s">
        <v>12</v>
      </c>
      <c r="E15" s="289">
        <f>G15+H15+J15+I15</f>
        <v>36.222125000000005</v>
      </c>
      <c r="F15" s="290">
        <f>E15*C15</f>
        <v>1666.2177500000003</v>
      </c>
      <c r="G15" s="291">
        <v>9.9975000000000005</v>
      </c>
      <c r="H15" s="289">
        <v>21.5</v>
      </c>
      <c r="I15" s="289">
        <f>IF(D15=0," ",(G15)*(Details!$C$4+Details!$C$8))</f>
        <v>1.4996250000000002</v>
      </c>
      <c r="J15" s="290">
        <f>IF(D15=0," ",(H15)*(Details!$C$6+Details!$C$8))</f>
        <v>3.2250000000000005</v>
      </c>
      <c r="K15" s="291">
        <f>+G15*C15</f>
        <v>459.88500000000005</v>
      </c>
      <c r="L15" s="289">
        <f>+H15*C15</f>
        <v>989</v>
      </c>
      <c r="M15" s="289">
        <f>IF(D15=0," ",(I15*C15))</f>
        <v>68.98275000000001</v>
      </c>
      <c r="N15" s="290">
        <f t="shared" si="1"/>
        <v>148.35000000000002</v>
      </c>
    </row>
    <row r="16" spans="1:14" s="8" customFormat="1" ht="18" customHeight="1" x14ac:dyDescent="0.45">
      <c r="A16" s="61" t="str">
        <f>IF(F16&lt;&gt;"",(LARGE(A$7:A15,1)+1),"")</f>
        <v/>
      </c>
      <c r="B16" s="130"/>
      <c r="C16" s="124"/>
      <c r="D16" s="38"/>
      <c r="E16" s="35"/>
      <c r="F16" s="165"/>
      <c r="G16" s="46"/>
      <c r="H16" s="35"/>
      <c r="I16" s="35"/>
      <c r="J16" s="165"/>
      <c r="K16" s="46"/>
      <c r="L16" s="35"/>
      <c r="M16" s="35"/>
      <c r="N16" s="165"/>
    </row>
    <row r="17" spans="1:16" s="8" customFormat="1" ht="18" customHeight="1" x14ac:dyDescent="0.45">
      <c r="A17" s="61"/>
      <c r="B17" s="130"/>
      <c r="C17" s="124"/>
      <c r="D17" s="38"/>
      <c r="E17" s="35"/>
      <c r="F17" s="165"/>
      <c r="G17" s="46"/>
      <c r="H17" s="35"/>
      <c r="I17" s="35"/>
      <c r="J17" s="165" t="str">
        <f>IF(D17=0," ",(G17+H17)*(Details!$C$4+Details!$C$6))</f>
        <v xml:space="preserve"> </v>
      </c>
      <c r="K17" s="179"/>
      <c r="L17" s="7"/>
      <c r="M17" s="7"/>
      <c r="N17" s="165"/>
    </row>
    <row r="18" spans="1:16" s="8" customFormat="1" ht="18.5" customHeight="1" thickBot="1" x14ac:dyDescent="0.5">
      <c r="A18" s="61"/>
      <c r="B18" s="139"/>
      <c r="C18" s="39"/>
      <c r="D18" s="47"/>
      <c r="E18" s="49" t="s">
        <v>81</v>
      </c>
      <c r="F18" s="166">
        <f>SUM(F6:F17)</f>
        <v>14638.792750000001</v>
      </c>
      <c r="G18" s="46"/>
      <c r="H18" s="35"/>
      <c r="I18" s="35"/>
      <c r="J18" s="165" t="str">
        <f>IF(D18=0," ",(G18+H18)*(Details!$C$4+Details!$C$6))</f>
        <v xml:space="preserve"> </v>
      </c>
      <c r="K18" s="207">
        <f>SUM(K6:K17)</f>
        <v>4040.3850000000002</v>
      </c>
      <c r="L18" s="208">
        <f>SUM(L6:L17)</f>
        <v>8689</v>
      </c>
      <c r="M18" s="208">
        <f>SUM(M6:M17)</f>
        <v>606.05775000000006</v>
      </c>
      <c r="N18" s="166">
        <f>SUM(N6:N17)</f>
        <v>1303.3500000000004</v>
      </c>
      <c r="O18" s="42"/>
    </row>
    <row r="19" spans="1:16" s="8" customFormat="1" ht="19.25" customHeight="1" thickTop="1" thickBot="1" x14ac:dyDescent="0.5">
      <c r="A19" s="140" t="str">
        <f>IF(F19&lt;&gt;"",(LARGE(A$7:A18,1)+1),"")</f>
        <v/>
      </c>
      <c r="B19" s="141"/>
      <c r="C19" s="142"/>
      <c r="D19" s="50"/>
      <c r="E19" s="52"/>
      <c r="F19" s="54"/>
      <c r="G19" s="53"/>
      <c r="H19" s="52"/>
      <c r="I19" s="52"/>
      <c r="J19" s="54" t="str">
        <f>IF(D19=0," ",(G19+H19)*(Details!$C$4+Details!$C$6))</f>
        <v xml:space="preserve"> </v>
      </c>
      <c r="K19" s="189"/>
      <c r="L19" s="189"/>
      <c r="M19" s="189"/>
      <c r="N19" s="153"/>
      <c r="O19" s="42"/>
    </row>
    <row r="20" spans="1:16" ht="15.5" customHeight="1" x14ac:dyDescent="0.35">
      <c r="P20" s="8"/>
    </row>
    <row r="21" spans="1:16" ht="15.5" customHeight="1" x14ac:dyDescent="0.35">
      <c r="P21" s="8"/>
    </row>
  </sheetData>
  <mergeCells count="2">
    <mergeCell ref="G5:J5"/>
    <mergeCell ref="K5:N5"/>
  </mergeCells>
  <conditionalFormatting sqref="G8:G10514">
    <cfRule type="notContainsBlanks" dxfId="6" priority="1">
      <formula>LEN(TRIM(G8))&gt;0</formula>
    </cfRule>
  </conditionalFormatting>
  <conditionalFormatting sqref="H11:H16">
    <cfRule type="notContainsBlanks" dxfId="5" priority="3">
      <formula>LEN(TRIM(H11))&gt;0</formula>
    </cfRule>
  </conditionalFormatting>
  <conditionalFormatting sqref="H8:I10 H17:I10514">
    <cfRule type="notContainsBlanks" dxfId="4" priority="41">
      <formula>LEN(TRIM(H8))&gt;0</formula>
    </cfRule>
  </conditionalFormatting>
  <printOptions horizontalCentered="1"/>
  <pageMargins left="0.70866141732283461" right="0.70866141732283461" top="0.31496062992125984" bottom="0.55118110236220474" header="0.31496062992125984" footer="0.31496062992125984"/>
  <pageSetup paperSize="9" scale="29" fitToHeight="0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18">
    <pageSetUpPr fitToPage="1"/>
  </sheetPr>
  <dimension ref="A1:R17"/>
  <sheetViews>
    <sheetView view="pageBreakPreview" zoomScale="60" zoomScaleNormal="55" workbookViewId="0">
      <selection activeCell="N17" sqref="N17"/>
    </sheetView>
  </sheetViews>
  <sheetFormatPr defaultColWidth="9.08984375" defaultRowHeight="15.5" x14ac:dyDescent="0.35"/>
  <cols>
    <col min="1" max="1" width="5.453125" style="6" customWidth="1"/>
    <col min="2" max="2" width="80.81640625" style="8" customWidth="1"/>
    <col min="3" max="3" width="12.453125" style="15" customWidth="1"/>
    <col min="4" max="4" width="8.6328125" style="6" customWidth="1"/>
    <col min="5" max="6" width="15.6328125" style="7" customWidth="1"/>
    <col min="7" max="10" width="14.36328125" style="7" customWidth="1"/>
    <col min="11" max="16" width="15.6328125" style="7" customWidth="1"/>
    <col min="17" max="17" width="15.6328125" style="6" customWidth="1"/>
    <col min="18" max="16384" width="9.08984375" style="6"/>
  </cols>
  <sheetData>
    <row r="1" spans="1:18" x14ac:dyDescent="0.35">
      <c r="A1" s="16"/>
      <c r="B1" s="10"/>
      <c r="C1" s="17"/>
      <c r="D1" s="11"/>
      <c r="E1" s="20"/>
      <c r="F1" s="21"/>
      <c r="G1" s="20"/>
      <c r="H1" s="20"/>
      <c r="I1" s="20"/>
      <c r="J1" s="11"/>
      <c r="K1" s="6"/>
      <c r="L1" s="6"/>
      <c r="M1" s="6"/>
      <c r="N1" s="6"/>
    </row>
    <row r="2" spans="1:18" x14ac:dyDescent="0.35">
      <c r="A2" s="5"/>
      <c r="B2" s="3" t="str">
        <f>+'Qual, Excl &amp; Assum'!B2</f>
        <v>PROJECT: ALTERATIONS TO 41 GREENSIDE STREET ROSEMARKIE, IV10 8AG</v>
      </c>
      <c r="F2" s="22"/>
      <c r="J2" s="6"/>
      <c r="K2" s="6"/>
      <c r="L2" s="6"/>
      <c r="M2" s="6"/>
      <c r="N2" s="6"/>
    </row>
    <row r="3" spans="1:18" x14ac:dyDescent="0.35">
      <c r="A3" s="5"/>
      <c r="B3" s="40" t="str">
        <f>+'Qual, Excl &amp; Assum'!B3</f>
        <v>DATE: 20TH NOVEMBER 2025</v>
      </c>
      <c r="F3" s="22"/>
      <c r="J3" s="6"/>
      <c r="K3" s="6"/>
      <c r="L3" s="6"/>
      <c r="M3" s="6"/>
      <c r="N3" s="6"/>
    </row>
    <row r="4" spans="1:18" s="8" customFormat="1" ht="16" thickBot="1" x14ac:dyDescent="0.4">
      <c r="A4" s="5"/>
      <c r="B4" s="9"/>
      <c r="C4" s="15"/>
      <c r="E4" s="23"/>
      <c r="F4" s="24"/>
      <c r="G4" s="23"/>
      <c r="H4" s="23"/>
      <c r="I4" s="23"/>
      <c r="O4" s="7"/>
      <c r="P4" s="7"/>
    </row>
    <row r="5" spans="1:18" s="8" customFormat="1" ht="38.25" customHeight="1" thickBot="1" x14ac:dyDescent="0.4">
      <c r="A5" s="172"/>
      <c r="B5" s="173" t="s">
        <v>16</v>
      </c>
      <c r="C5" s="177"/>
      <c r="D5" s="175"/>
      <c r="E5" s="176"/>
      <c r="F5" s="181"/>
      <c r="G5" s="366" t="s">
        <v>104</v>
      </c>
      <c r="H5" s="367"/>
      <c r="I5" s="367"/>
      <c r="J5" s="368"/>
      <c r="K5" s="366" t="s">
        <v>105</v>
      </c>
      <c r="L5" s="367"/>
      <c r="M5" s="367"/>
      <c r="N5" s="368"/>
      <c r="O5" s="7"/>
      <c r="P5" s="7"/>
    </row>
    <row r="6" spans="1:18" s="8" customFormat="1" ht="18.5" x14ac:dyDescent="0.45">
      <c r="A6" s="36"/>
      <c r="B6" s="25"/>
      <c r="C6" s="39"/>
      <c r="D6" s="25"/>
      <c r="E6" s="51"/>
      <c r="F6" s="163"/>
      <c r="G6" s="210"/>
      <c r="H6" s="51"/>
      <c r="I6" s="51"/>
      <c r="J6" s="168"/>
      <c r="K6" s="179"/>
      <c r="L6" s="7"/>
      <c r="M6" s="7"/>
      <c r="N6" s="14"/>
      <c r="O6" s="7"/>
      <c r="P6" s="7"/>
    </row>
    <row r="7" spans="1:18" s="8" customFormat="1" ht="18.5" x14ac:dyDescent="0.45">
      <c r="A7" s="36"/>
      <c r="B7" s="3" t="s">
        <v>3</v>
      </c>
      <c r="C7" s="216" t="s">
        <v>8</v>
      </c>
      <c r="D7" s="217" t="s">
        <v>2</v>
      </c>
      <c r="E7" s="41" t="s">
        <v>1</v>
      </c>
      <c r="F7" s="218" t="s">
        <v>0</v>
      </c>
      <c r="G7" s="219" t="s">
        <v>25</v>
      </c>
      <c r="H7" s="219" t="s">
        <v>26</v>
      </c>
      <c r="I7" s="219" t="s">
        <v>138</v>
      </c>
      <c r="J7" s="220" t="s">
        <v>139</v>
      </c>
      <c r="K7" s="219" t="s">
        <v>25</v>
      </c>
      <c r="L7" s="219" t="s">
        <v>26</v>
      </c>
      <c r="M7" s="219" t="s">
        <v>138</v>
      </c>
      <c r="N7" s="220" t="s">
        <v>139</v>
      </c>
      <c r="O7" s="7"/>
      <c r="P7" s="7"/>
    </row>
    <row r="8" spans="1:18" s="8" customFormat="1" ht="18.5" x14ac:dyDescent="0.45">
      <c r="A8" s="36"/>
      <c r="B8" s="137"/>
      <c r="C8" s="127"/>
      <c r="D8" s="48"/>
      <c r="E8" s="49"/>
      <c r="F8" s="164"/>
      <c r="G8" s="46"/>
      <c r="H8" s="35"/>
      <c r="I8" s="35"/>
      <c r="J8" s="169"/>
      <c r="K8" s="171"/>
      <c r="L8" s="48"/>
      <c r="M8" s="48"/>
      <c r="N8" s="165" t="str">
        <f t="shared" ref="N8" si="0">IF(D8=0," ",(J8*C8))</f>
        <v xml:space="preserve"> </v>
      </c>
      <c r="O8" s="7"/>
      <c r="P8" s="7"/>
    </row>
    <row r="9" spans="1:18" s="8" customFormat="1" ht="18.5" x14ac:dyDescent="0.45">
      <c r="A9" s="36"/>
      <c r="B9" s="301" t="s">
        <v>253</v>
      </c>
      <c r="C9" s="127"/>
      <c r="D9" s="48"/>
      <c r="E9" s="49"/>
      <c r="F9" s="164"/>
      <c r="G9" s="46"/>
      <c r="H9" s="35"/>
      <c r="I9" s="35"/>
      <c r="J9" s="169"/>
      <c r="K9" s="171"/>
      <c r="L9" s="48"/>
      <c r="M9" s="48"/>
      <c r="N9" s="165"/>
      <c r="O9" s="7"/>
      <c r="P9" s="7"/>
    </row>
    <row r="10" spans="1:18" s="8" customFormat="1" ht="18.5" x14ac:dyDescent="0.45">
      <c r="A10" s="36"/>
      <c r="B10" s="129"/>
      <c r="C10" s="127"/>
      <c r="D10" s="48"/>
      <c r="E10" s="49"/>
      <c r="F10" s="164"/>
      <c r="G10" s="46"/>
      <c r="H10" s="35"/>
      <c r="I10" s="35"/>
      <c r="J10" s="169"/>
      <c r="K10" s="171"/>
      <c r="L10" s="48"/>
      <c r="M10" s="48"/>
      <c r="N10" s="165"/>
      <c r="O10" s="7"/>
      <c r="P10" s="7"/>
    </row>
    <row r="11" spans="1:18" s="45" customFormat="1" ht="18.5" x14ac:dyDescent="0.45">
      <c r="A11" s="286">
        <v>1</v>
      </c>
      <c r="B11" s="25" t="s">
        <v>252</v>
      </c>
      <c r="C11" s="288">
        <v>3</v>
      </c>
      <c r="D11" s="146" t="s">
        <v>12</v>
      </c>
      <c r="E11" s="289">
        <f>G11+H11+J11+I11</f>
        <v>776.25</v>
      </c>
      <c r="F11" s="290">
        <f>E11*C11</f>
        <v>2328.75</v>
      </c>
      <c r="G11" s="291">
        <v>675</v>
      </c>
      <c r="H11" s="289"/>
      <c r="I11" s="289">
        <f>IF(D11=0," ",(G11)*(Details!$C$4+Details!$C$8))</f>
        <v>101.25000000000001</v>
      </c>
      <c r="J11" s="290">
        <f>IF(D11=0," ",(H11)*(Details!$C$6+Details!$C$8))</f>
        <v>0</v>
      </c>
      <c r="K11" s="291">
        <f>+G11*C11</f>
        <v>2025</v>
      </c>
      <c r="L11" s="289">
        <f>+H11*C11</f>
        <v>0</v>
      </c>
      <c r="M11" s="289">
        <f>IF(D11=0," ",(I11*C11))</f>
        <v>303.75000000000006</v>
      </c>
      <c r="N11" s="290">
        <f>IF(D11=0," ",(J11*C11))</f>
        <v>0</v>
      </c>
      <c r="O11" s="56"/>
      <c r="P11" s="7"/>
      <c r="Q11" s="292"/>
    </row>
    <row r="12" spans="1:18" s="45" customFormat="1" ht="18.5" x14ac:dyDescent="0.45">
      <c r="A12" s="286"/>
      <c r="B12" s="287"/>
      <c r="C12" s="288"/>
      <c r="D12" s="146"/>
      <c r="E12" s="289"/>
      <c r="F12" s="290"/>
      <c r="G12" s="35"/>
      <c r="H12" s="35"/>
      <c r="I12" s="289"/>
      <c r="J12" s="290"/>
      <c r="K12" s="291"/>
      <c r="L12" s="289"/>
      <c r="M12" s="289"/>
      <c r="N12" s="290"/>
      <c r="O12" s="56"/>
      <c r="P12" s="7"/>
      <c r="Q12" s="292"/>
    </row>
    <row r="13" spans="1:18" s="8" customFormat="1" ht="18.5" x14ac:dyDescent="0.45">
      <c r="A13" s="286" t="str">
        <f>IF(F13&lt;&gt;"",(LARGE(A$7:A12,1)+1),"")</f>
        <v/>
      </c>
      <c r="B13" s="130"/>
      <c r="C13" s="124"/>
      <c r="D13" s="47"/>
      <c r="E13" s="35"/>
      <c r="F13" s="165"/>
      <c r="G13" s="46"/>
      <c r="H13" s="35"/>
      <c r="I13" s="35"/>
      <c r="J13" s="165"/>
      <c r="K13" s="46"/>
      <c r="L13" s="35"/>
      <c r="M13" s="35"/>
      <c r="N13" s="165"/>
      <c r="O13" s="7"/>
      <c r="P13" s="7"/>
    </row>
    <row r="14" spans="1:18" s="8" customFormat="1" ht="18.5" x14ac:dyDescent="0.45">
      <c r="A14" s="286" t="str">
        <f>IF(F14&lt;&gt;"",(LARGE(A$7:A13,1)+1),"")</f>
        <v/>
      </c>
      <c r="B14" s="130"/>
      <c r="C14" s="124"/>
      <c r="D14" s="38"/>
      <c r="E14" s="35"/>
      <c r="F14" s="165"/>
      <c r="G14" s="46"/>
      <c r="H14" s="35"/>
      <c r="I14" s="35"/>
      <c r="J14" s="165"/>
      <c r="K14" s="46"/>
      <c r="L14" s="35"/>
      <c r="M14" s="35"/>
      <c r="N14" s="165"/>
      <c r="O14" s="7"/>
      <c r="P14" s="7"/>
    </row>
    <row r="15" spans="1:18" s="8" customFormat="1" ht="16.5" customHeight="1" x14ac:dyDescent="0.45">
      <c r="A15" s="286" t="str">
        <f>IF(F15&lt;&gt;"",(LARGE(A$7:A14,1)+1),"")</f>
        <v/>
      </c>
      <c r="B15" s="130"/>
      <c r="C15" s="124"/>
      <c r="D15" s="38"/>
      <c r="E15" s="35"/>
      <c r="F15" s="165"/>
      <c r="G15" s="46"/>
      <c r="H15" s="35"/>
      <c r="I15" s="35"/>
      <c r="J15" s="165" t="str">
        <f>IF(D15=0," ",(G15+H15)*(Details!$C$4+Details!$C$6))</f>
        <v xml:space="preserve"> </v>
      </c>
      <c r="K15" s="46"/>
      <c r="L15" s="35"/>
      <c r="M15" s="35"/>
      <c r="N15" s="165"/>
      <c r="O15" s="7"/>
      <c r="P15" s="7"/>
    </row>
    <row r="16" spans="1:18" s="8" customFormat="1" ht="19" thickBot="1" x14ac:dyDescent="0.5">
      <c r="A16" s="61"/>
      <c r="B16" s="139"/>
      <c r="C16" s="39"/>
      <c r="D16" s="47"/>
      <c r="E16" s="49" t="s">
        <v>81</v>
      </c>
      <c r="F16" s="166">
        <f>SUM(F8:F15)</f>
        <v>2328.75</v>
      </c>
      <c r="G16" s="46"/>
      <c r="H16" s="35"/>
      <c r="I16" s="35"/>
      <c r="J16" s="165" t="str">
        <f>IF(D16=0," ",(G16+H16)*(Details!$C$4+Details!$C$6))</f>
        <v xml:space="preserve"> </v>
      </c>
      <c r="K16" s="207">
        <f>SUM(K8:K15)</f>
        <v>2025</v>
      </c>
      <c r="L16" s="208">
        <f>SUM(L8:L15)</f>
        <v>0</v>
      </c>
      <c r="M16" s="208">
        <f>SUM(M8:M15)</f>
        <v>303.75000000000006</v>
      </c>
      <c r="N16" s="166">
        <f>SUM(N8:N15)</f>
        <v>0</v>
      </c>
      <c r="O16" s="7"/>
      <c r="P16" s="7"/>
      <c r="R16" s="42"/>
    </row>
    <row r="17" spans="1:18" s="8" customFormat="1" ht="19.5" thickTop="1" thickBot="1" x14ac:dyDescent="0.5">
      <c r="A17" s="140" t="str">
        <f>IF(F17&lt;&gt;"",(LARGE(A$7:A16,1)+1),"")</f>
        <v/>
      </c>
      <c r="B17" s="141"/>
      <c r="C17" s="142"/>
      <c r="D17" s="50"/>
      <c r="E17" s="52"/>
      <c r="F17" s="54"/>
      <c r="G17" s="53"/>
      <c r="H17" s="52"/>
      <c r="I17" s="52"/>
      <c r="J17" s="54" t="str">
        <f>IF(D17=0," ",(G17+H17)*(Details!$C$4+Details!$C$6))</f>
        <v xml:space="preserve"> </v>
      </c>
      <c r="K17" s="189"/>
      <c r="L17" s="189"/>
      <c r="M17" s="189"/>
      <c r="N17" s="153"/>
      <c r="O17" s="7"/>
      <c r="P17" s="7"/>
      <c r="R17" s="42"/>
    </row>
  </sheetData>
  <mergeCells count="2">
    <mergeCell ref="G5:J5"/>
    <mergeCell ref="K5:N5"/>
  </mergeCells>
  <conditionalFormatting sqref="G8:G10512">
    <cfRule type="notContainsBlanks" dxfId="3" priority="1">
      <formula>LEN(TRIM(G8))&gt;0</formula>
    </cfRule>
  </conditionalFormatting>
  <conditionalFormatting sqref="H11:H12">
    <cfRule type="notContainsBlanks" dxfId="2" priority="2">
      <formula>LEN(TRIM(H11))&gt;0</formula>
    </cfRule>
  </conditionalFormatting>
  <conditionalFormatting sqref="H8:I10 H13:I10512">
    <cfRule type="notContainsBlanks" dxfId="1" priority="21">
      <formula>LEN(TRIM(H8))&gt;0</formula>
    </cfRule>
  </conditionalFormatting>
  <pageMargins left="0.70866141732283461" right="0.70866141732283461" top="0.31496062992125984" bottom="0.55118110236220474" header="0.31496062992125984" footer="0.31496062992125984"/>
  <pageSetup paperSize="9" scale="33" fitToHeight="0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20">
    <pageSetUpPr fitToPage="1"/>
  </sheetPr>
  <dimension ref="A1:L30"/>
  <sheetViews>
    <sheetView view="pageBreakPreview" zoomScale="60" zoomScaleNormal="86" workbookViewId="0">
      <selection activeCell="F11" sqref="F11"/>
    </sheetView>
  </sheetViews>
  <sheetFormatPr defaultColWidth="9.08984375" defaultRowHeight="15.5" x14ac:dyDescent="0.35"/>
  <cols>
    <col min="1" max="1" width="5.453125" style="6" customWidth="1"/>
    <col min="2" max="2" width="80.81640625" style="8" customWidth="1"/>
    <col min="3" max="3" width="12.453125" style="15" customWidth="1"/>
    <col min="4" max="4" width="8.6328125" style="6" customWidth="1"/>
    <col min="5" max="5" width="15.6328125" style="7" customWidth="1"/>
    <col min="6" max="7" width="15.6328125" style="6" customWidth="1"/>
    <col min="8" max="8" width="15.6328125" style="7" customWidth="1"/>
    <col min="9" max="10" width="12.453125" style="19" customWidth="1"/>
    <col min="11" max="11" width="10.453125" style="6" bestFit="1" customWidth="1"/>
    <col min="12" max="16384" width="9.08984375" style="6"/>
  </cols>
  <sheetData>
    <row r="1" spans="1:11" x14ac:dyDescent="0.35">
      <c r="A1" s="16"/>
      <c r="B1" s="10"/>
      <c r="C1" s="17"/>
      <c r="D1" s="11"/>
      <c r="E1" s="20"/>
      <c r="F1" s="21"/>
      <c r="G1" s="20"/>
      <c r="H1" s="12"/>
    </row>
    <row r="2" spans="1:11" x14ac:dyDescent="0.35">
      <c r="A2" s="5"/>
      <c r="B2" s="3" t="str">
        <f>+'Qual, Excl &amp; Assum'!B2</f>
        <v>PROJECT: ALTERATIONS TO 41 GREENSIDE STREET ROSEMARKIE, IV10 8AG</v>
      </c>
      <c r="F2" s="22"/>
      <c r="G2" s="7"/>
      <c r="H2" s="13"/>
    </row>
    <row r="3" spans="1:11" x14ac:dyDescent="0.35">
      <c r="A3" s="5"/>
      <c r="B3" s="40" t="str">
        <f>+'Qual, Excl &amp; Assum'!B3</f>
        <v>DATE: 20TH NOVEMBER 2025</v>
      </c>
      <c r="F3" s="22"/>
      <c r="G3" s="7"/>
      <c r="H3" s="13"/>
    </row>
    <row r="4" spans="1:11" s="8" customFormat="1" ht="16" thickBot="1" x14ac:dyDescent="0.4">
      <c r="A4" s="5"/>
      <c r="B4" s="9"/>
      <c r="C4" s="15"/>
      <c r="E4" s="23"/>
      <c r="F4" s="24"/>
      <c r="G4" s="23"/>
      <c r="H4" s="14"/>
      <c r="I4" s="58"/>
      <c r="J4" s="58"/>
    </row>
    <row r="5" spans="1:11" s="8" customFormat="1" ht="37.5" customHeight="1" thickBot="1" x14ac:dyDescent="0.55000000000000004">
      <c r="A5" s="182"/>
      <c r="B5" s="183" t="s">
        <v>9</v>
      </c>
      <c r="C5" s="205"/>
      <c r="D5" s="185"/>
      <c r="E5" s="186"/>
      <c r="F5" s="187"/>
      <c r="G5" s="186"/>
      <c r="H5" s="206"/>
      <c r="I5" s="370"/>
      <c r="J5" s="371"/>
    </row>
    <row r="6" spans="1:11" s="8" customFormat="1" ht="18.5" x14ac:dyDescent="0.45">
      <c r="A6" s="36"/>
      <c r="B6" s="25"/>
      <c r="C6" s="39"/>
      <c r="D6" s="25"/>
      <c r="E6" s="51"/>
      <c r="F6" s="163"/>
      <c r="G6" s="51"/>
      <c r="H6" s="168"/>
      <c r="I6" s="19"/>
      <c r="J6" s="19"/>
      <c r="K6" s="60"/>
    </row>
    <row r="7" spans="1:11" s="8" customFormat="1" ht="18.5" x14ac:dyDescent="0.45">
      <c r="A7" s="36"/>
      <c r="B7" s="3" t="s">
        <v>3</v>
      </c>
      <c r="C7" s="216" t="s">
        <v>8</v>
      </c>
      <c r="D7" s="217" t="s">
        <v>2</v>
      </c>
      <c r="E7" s="41" t="s">
        <v>1</v>
      </c>
      <c r="F7" s="218" t="s">
        <v>0</v>
      </c>
      <c r="G7" s="41" t="s">
        <v>27</v>
      </c>
      <c r="H7" s="188" t="s">
        <v>110</v>
      </c>
      <c r="I7" s="58"/>
      <c r="J7" s="58"/>
    </row>
    <row r="8" spans="1:11" s="8" customFormat="1" ht="18.5" x14ac:dyDescent="0.45">
      <c r="A8" s="36"/>
      <c r="B8" s="137"/>
      <c r="C8" s="204"/>
      <c r="D8" s="48"/>
      <c r="E8" s="49"/>
      <c r="F8" s="164"/>
      <c r="G8" s="49"/>
      <c r="H8" s="169"/>
      <c r="I8" s="19"/>
      <c r="J8" s="7"/>
    </row>
    <row r="9" spans="1:11" s="8" customFormat="1" ht="18.5" x14ac:dyDescent="0.45">
      <c r="A9" s="36">
        <v>1</v>
      </c>
      <c r="B9" s="25" t="s">
        <v>57</v>
      </c>
      <c r="C9" s="124">
        <v>1</v>
      </c>
      <c r="D9" s="38" t="s">
        <v>39</v>
      </c>
      <c r="E9" s="289">
        <f>G9+H9+J9+I9</f>
        <v>977.5</v>
      </c>
      <c r="F9" s="165">
        <f>E9*C9</f>
        <v>977.5</v>
      </c>
      <c r="G9" s="35">
        <v>850</v>
      </c>
      <c r="H9" s="165">
        <f>IF(D9=0," ",(G9)*(Details!$C$4+Details!$C$8))</f>
        <v>127.50000000000001</v>
      </c>
      <c r="I9" s="19"/>
      <c r="J9" s="7"/>
    </row>
    <row r="10" spans="1:11" s="8" customFormat="1" ht="18.5" x14ac:dyDescent="0.45">
      <c r="A10" s="61">
        <f>IF(F10&lt;&gt;"",(LARGE(A$7:A9,1)+1),"")</f>
        <v>2</v>
      </c>
      <c r="B10" s="25" t="s">
        <v>36</v>
      </c>
      <c r="C10" s="124">
        <v>1</v>
      </c>
      <c r="D10" s="38" t="s">
        <v>12</v>
      </c>
      <c r="E10" s="289">
        <f t="shared" ref="E10:E21" si="0">G10+H10+J10+I10</f>
        <v>1437.5</v>
      </c>
      <c r="F10" s="165">
        <f>E10*C10</f>
        <v>1437.5</v>
      </c>
      <c r="G10" s="35">
        <v>1250</v>
      </c>
      <c r="H10" s="165">
        <f>IF(D10=0," ",(G10)*(Details!$C$4+Details!$C$8))</f>
        <v>187.50000000000003</v>
      </c>
      <c r="I10" s="19"/>
      <c r="J10" s="59"/>
    </row>
    <row r="11" spans="1:11" s="8" customFormat="1" ht="18.5" x14ac:dyDescent="0.45">
      <c r="A11" s="61">
        <f>IF(F11&lt;&gt;"",(LARGE(A$7:A10,1)+1),"")</f>
        <v>3</v>
      </c>
      <c r="B11" s="25" t="s">
        <v>30</v>
      </c>
      <c r="C11" s="124">
        <v>1</v>
      </c>
      <c r="D11" s="38" t="s">
        <v>11</v>
      </c>
      <c r="E11" s="289">
        <f t="shared" si="0"/>
        <v>1667.5</v>
      </c>
      <c r="F11" s="165">
        <f t="shared" ref="F11:F21" si="1">E11*C11</f>
        <v>1667.5</v>
      </c>
      <c r="G11" s="35">
        <v>1450</v>
      </c>
      <c r="H11" s="165">
        <f>IF(D11=0," ",(G11)*(Details!$C$4+Details!$C$8))</f>
        <v>217.50000000000003</v>
      </c>
      <c r="I11" s="19"/>
      <c r="J11" s="7"/>
    </row>
    <row r="12" spans="1:11" s="8" customFormat="1" ht="18.5" x14ac:dyDescent="0.45">
      <c r="A12" s="61">
        <f>IF(F12&lt;&gt;"",(LARGE(A$7:A11,1)+1),"")</f>
        <v>4</v>
      </c>
      <c r="B12" s="130" t="s">
        <v>31</v>
      </c>
      <c r="C12" s="124">
        <v>1</v>
      </c>
      <c r="D12" s="38" t="s">
        <v>11</v>
      </c>
      <c r="E12" s="289">
        <f t="shared" si="0"/>
        <v>862.5</v>
      </c>
      <c r="F12" s="165">
        <f t="shared" si="1"/>
        <v>862.5</v>
      </c>
      <c r="G12" s="35">
        <v>750</v>
      </c>
      <c r="H12" s="165">
        <f>IF(D12=0," ",(G12)*(Details!$C$4+Details!$C$8))</f>
        <v>112.50000000000001</v>
      </c>
      <c r="I12" s="19"/>
      <c r="J12" s="7"/>
    </row>
    <row r="13" spans="1:11" s="8" customFormat="1" ht="18.5" x14ac:dyDescent="0.45">
      <c r="A13" s="61">
        <f>IF(F13&lt;&gt;"",(LARGE(A$7:A12,1)+1),"")</f>
        <v>5</v>
      </c>
      <c r="B13" s="25" t="s">
        <v>32</v>
      </c>
      <c r="C13" s="124">
        <v>1</v>
      </c>
      <c r="D13" s="38" t="s">
        <v>11</v>
      </c>
      <c r="E13" s="289">
        <f t="shared" si="0"/>
        <v>747.5</v>
      </c>
      <c r="F13" s="165">
        <f t="shared" si="1"/>
        <v>747.5</v>
      </c>
      <c r="G13" s="35">
        <v>650</v>
      </c>
      <c r="H13" s="165">
        <f>IF(D13=0," ",(G13)*(Details!$C$4+Details!$C$8))</f>
        <v>97.500000000000014</v>
      </c>
      <c r="I13" s="19"/>
      <c r="J13" s="7"/>
    </row>
    <row r="14" spans="1:11" s="8" customFormat="1" ht="18.5" x14ac:dyDescent="0.45">
      <c r="A14" s="61">
        <f>IF(F14&lt;&gt;"",(LARGE(A$7:A13,1)+1),"")</f>
        <v>6</v>
      </c>
      <c r="B14" s="130" t="s">
        <v>33</v>
      </c>
      <c r="C14" s="124">
        <v>1</v>
      </c>
      <c r="D14" s="38" t="s">
        <v>11</v>
      </c>
      <c r="E14" s="289">
        <f t="shared" si="0"/>
        <v>632.5</v>
      </c>
      <c r="F14" s="165">
        <f t="shared" si="1"/>
        <v>632.5</v>
      </c>
      <c r="G14" s="35">
        <v>550</v>
      </c>
      <c r="H14" s="165">
        <f>IF(D14=0," ",(G14)*(Details!$C$4+Details!$C$8))</f>
        <v>82.500000000000014</v>
      </c>
      <c r="I14" s="19"/>
      <c r="J14" s="7"/>
    </row>
    <row r="15" spans="1:11" s="8" customFormat="1" ht="18.5" x14ac:dyDescent="0.45">
      <c r="A15" s="61">
        <f>IF(F15&lt;&gt;"",(LARGE(A$7:A14,1)+1),"")</f>
        <v>7</v>
      </c>
      <c r="B15" s="130" t="s">
        <v>34</v>
      </c>
      <c r="C15" s="124">
        <v>1</v>
      </c>
      <c r="D15" s="38" t="s">
        <v>11</v>
      </c>
      <c r="E15" s="289">
        <f t="shared" si="0"/>
        <v>977.5</v>
      </c>
      <c r="F15" s="165">
        <f t="shared" si="1"/>
        <v>977.5</v>
      </c>
      <c r="G15" s="35">
        <v>850</v>
      </c>
      <c r="H15" s="165">
        <f>IF(D15=0," ",(G15)*(Details!$C$4+Details!$C$8))</f>
        <v>127.50000000000001</v>
      </c>
      <c r="I15" s="19"/>
      <c r="J15" s="7"/>
    </row>
    <row r="16" spans="1:11" s="8" customFormat="1" ht="18.5" x14ac:dyDescent="0.45">
      <c r="A16" s="61">
        <f>IF(F16&lt;&gt;"",(LARGE(A$7:A15,1)+1),"")</f>
        <v>8</v>
      </c>
      <c r="B16" s="130" t="s">
        <v>35</v>
      </c>
      <c r="C16" s="124">
        <v>1</v>
      </c>
      <c r="D16" s="38" t="s">
        <v>11</v>
      </c>
      <c r="E16" s="289">
        <f t="shared" si="0"/>
        <v>1322.5</v>
      </c>
      <c r="F16" s="165">
        <f t="shared" si="1"/>
        <v>1322.5</v>
      </c>
      <c r="G16" s="35">
        <v>1150</v>
      </c>
      <c r="H16" s="165">
        <f>IF(D16=0," ",(G16)*(Details!$C$4+Details!$C$8))</f>
        <v>172.50000000000003</v>
      </c>
      <c r="I16" s="19"/>
      <c r="J16" s="7"/>
    </row>
    <row r="17" spans="1:12" s="8" customFormat="1" ht="18.5" x14ac:dyDescent="0.45">
      <c r="A17" s="61">
        <f>IF(F17&lt;&gt;"",(LARGE(A$7:A16,1)+1),"")</f>
        <v>9</v>
      </c>
      <c r="B17" s="130" t="s">
        <v>61</v>
      </c>
      <c r="C17" s="124">
        <v>1</v>
      </c>
      <c r="D17" s="38" t="s">
        <v>11</v>
      </c>
      <c r="E17" s="289">
        <f t="shared" si="0"/>
        <v>747.5</v>
      </c>
      <c r="F17" s="165">
        <f t="shared" si="1"/>
        <v>747.5</v>
      </c>
      <c r="G17" s="35">
        <v>650</v>
      </c>
      <c r="H17" s="165">
        <f>IF(D17=0," ",(G17)*(Details!$C$4+Details!$C$8))</f>
        <v>97.500000000000014</v>
      </c>
      <c r="I17" s="19"/>
      <c r="J17" s="7"/>
    </row>
    <row r="18" spans="1:12" s="8" customFormat="1" ht="18.5" x14ac:dyDescent="0.45">
      <c r="A18" s="61">
        <f>IF(F18&lt;&gt;"",(LARGE(A$7:A17,1)+1),"")</f>
        <v>10</v>
      </c>
      <c r="B18" s="130" t="s">
        <v>40</v>
      </c>
      <c r="C18" s="124">
        <v>1</v>
      </c>
      <c r="D18" s="38" t="s">
        <v>11</v>
      </c>
      <c r="E18" s="289">
        <f t="shared" si="0"/>
        <v>1150</v>
      </c>
      <c r="F18" s="165">
        <f t="shared" si="1"/>
        <v>1150</v>
      </c>
      <c r="G18" s="35">
        <v>1000</v>
      </c>
      <c r="H18" s="165">
        <f>IF(D18=0," ",(G18)*(Details!$C$4+Details!$C$8))</f>
        <v>150.00000000000003</v>
      </c>
      <c r="I18" s="19"/>
      <c r="J18" s="7"/>
    </row>
    <row r="19" spans="1:12" s="8" customFormat="1" ht="18.5" x14ac:dyDescent="0.45">
      <c r="A19" s="61">
        <f>IF(F19&lt;&gt;"",(LARGE(A$7:A18,1)+1),"")</f>
        <v>11</v>
      </c>
      <c r="B19" s="130" t="s">
        <v>41</v>
      </c>
      <c r="C19" s="124">
        <v>1</v>
      </c>
      <c r="D19" s="38" t="s">
        <v>11</v>
      </c>
      <c r="E19" s="289">
        <f t="shared" si="0"/>
        <v>977.5</v>
      </c>
      <c r="F19" s="165">
        <f t="shared" si="1"/>
        <v>977.5</v>
      </c>
      <c r="G19" s="35">
        <v>850</v>
      </c>
      <c r="H19" s="165">
        <f>IF(D19=0," ",(G19)*(Details!$C$4+Details!$C$8))</f>
        <v>127.50000000000001</v>
      </c>
      <c r="I19" s="19"/>
      <c r="J19" s="7"/>
    </row>
    <row r="20" spans="1:12" s="8" customFormat="1" ht="18.5" x14ac:dyDescent="0.45">
      <c r="A20" s="61">
        <f>IF(F20&lt;&gt;"",(LARGE(A$7:A19,1)+1),"")</f>
        <v>12</v>
      </c>
      <c r="B20" s="130" t="s">
        <v>126</v>
      </c>
      <c r="C20" s="124">
        <v>1</v>
      </c>
      <c r="D20" s="38" t="s">
        <v>11</v>
      </c>
      <c r="E20" s="289">
        <f t="shared" si="0"/>
        <v>402.5</v>
      </c>
      <c r="F20" s="165">
        <f t="shared" si="1"/>
        <v>402.5</v>
      </c>
      <c r="G20" s="35">
        <v>350</v>
      </c>
      <c r="H20" s="165">
        <f>IF(D20=0," ",(G20)*(Details!$C$4+Details!$C$8))</f>
        <v>52.500000000000007</v>
      </c>
      <c r="I20" s="19"/>
      <c r="J20" s="7"/>
    </row>
    <row r="21" spans="1:12" s="8" customFormat="1" ht="18.5" x14ac:dyDescent="0.45">
      <c r="A21" s="61">
        <f>IF(F21&lt;&gt;"",(LARGE(A$7:A20,1)+1),"")</f>
        <v>13</v>
      </c>
      <c r="B21" s="130" t="s">
        <v>169</v>
      </c>
      <c r="C21" s="124">
        <v>1</v>
      </c>
      <c r="D21" s="38" t="s">
        <v>11</v>
      </c>
      <c r="E21" s="289">
        <f t="shared" si="0"/>
        <v>2875</v>
      </c>
      <c r="F21" s="165">
        <f t="shared" si="1"/>
        <v>2875</v>
      </c>
      <c r="G21" s="35">
        <v>2500</v>
      </c>
      <c r="H21" s="165">
        <f>IF(D21=0," ",(G21)*(Details!$C$4+Details!$C$8))</f>
        <v>375.00000000000006</v>
      </c>
      <c r="I21" s="19"/>
      <c r="J21" s="7"/>
    </row>
    <row r="22" spans="1:12" s="8" customFormat="1" ht="18.5" x14ac:dyDescent="0.45">
      <c r="A22" s="61" t="str">
        <f>IF(F22&lt;&gt;"",(LARGE(A$7:A21,1)+1),"")</f>
        <v/>
      </c>
      <c r="B22" s="130"/>
      <c r="C22" s="124"/>
      <c r="D22" s="47"/>
      <c r="E22" s="35"/>
      <c r="F22" s="165"/>
      <c r="G22" s="35"/>
      <c r="H22" s="165" t="str">
        <f>IF(D22=0," ",(G22)*(Details!$C$4+Details!$C$6))</f>
        <v xml:space="preserve"> </v>
      </c>
      <c r="I22" s="19"/>
      <c r="J22" s="7"/>
    </row>
    <row r="23" spans="1:12" s="8" customFormat="1" ht="18.5" x14ac:dyDescent="0.45">
      <c r="A23" s="61" t="str">
        <f>IF(F23&lt;&gt;"",(LARGE(A$7:A22,1)+1),"")</f>
        <v/>
      </c>
      <c r="B23" s="130"/>
      <c r="C23" s="124"/>
      <c r="D23" s="47"/>
      <c r="E23" s="35"/>
      <c r="F23" s="165"/>
      <c r="G23" s="35"/>
      <c r="H23" s="165" t="str">
        <f>IF(D23=0," ",(G23)*(Details!$C$4))</f>
        <v xml:space="preserve"> </v>
      </c>
      <c r="I23" s="19"/>
      <c r="J23" s="7"/>
    </row>
    <row r="24" spans="1:12" s="8" customFormat="1" ht="19" thickBot="1" x14ac:dyDescent="0.5">
      <c r="A24" s="61" t="str">
        <f>IF(D24=0," ",(LARGE(A$9:A23,1)+1))</f>
        <v xml:space="preserve"> </v>
      </c>
      <c r="B24" s="139"/>
      <c r="C24" s="39"/>
      <c r="D24" s="47"/>
      <c r="E24" s="49" t="s">
        <v>81</v>
      </c>
      <c r="F24" s="166">
        <f>SUM(F8:F23)</f>
        <v>14777.5</v>
      </c>
      <c r="G24" s="35"/>
      <c r="H24" s="165"/>
      <c r="I24" s="19"/>
      <c r="J24" s="7"/>
    </row>
    <row r="25" spans="1:12" s="8" customFormat="1" ht="19.5" thickTop="1" thickBot="1" x14ac:dyDescent="0.5">
      <c r="A25" s="37"/>
      <c r="B25" s="141"/>
      <c r="C25" s="142"/>
      <c r="D25" s="50"/>
      <c r="E25" s="52"/>
      <c r="F25" s="167"/>
      <c r="G25" s="52"/>
      <c r="H25" s="54"/>
      <c r="I25" s="19"/>
      <c r="J25" s="7"/>
    </row>
    <row r="26" spans="1:12" s="8" customFormat="1" x14ac:dyDescent="0.35">
      <c r="A26" s="6"/>
      <c r="C26" s="15"/>
      <c r="D26" s="6"/>
      <c r="E26" s="7"/>
      <c r="F26" s="6"/>
      <c r="G26" s="6"/>
      <c r="H26" s="7"/>
      <c r="I26" s="19"/>
      <c r="J26" s="19"/>
    </row>
    <row r="27" spans="1:12" s="8" customFormat="1" ht="17.5" customHeight="1" x14ac:dyDescent="0.35">
      <c r="A27" s="6"/>
      <c r="C27" s="15"/>
      <c r="D27" s="6"/>
      <c r="E27" s="7"/>
      <c r="F27" s="6"/>
      <c r="G27" s="6"/>
      <c r="H27" s="7"/>
      <c r="I27" s="19"/>
      <c r="J27" s="19"/>
    </row>
    <row r="28" spans="1:12" s="8" customFormat="1" x14ac:dyDescent="0.35">
      <c r="A28" s="6"/>
      <c r="C28" s="15"/>
      <c r="D28" s="6"/>
      <c r="E28" s="7"/>
      <c r="F28" s="6"/>
      <c r="G28" s="6"/>
      <c r="H28" s="7"/>
      <c r="I28" s="19"/>
      <c r="J28" s="19"/>
    </row>
    <row r="29" spans="1:12" s="8" customFormat="1" x14ac:dyDescent="0.35">
      <c r="A29" s="6"/>
      <c r="C29" s="15"/>
      <c r="D29" s="6"/>
      <c r="E29" s="7"/>
      <c r="F29" s="6"/>
      <c r="G29" s="6"/>
      <c r="H29" s="7"/>
      <c r="I29" s="19"/>
      <c r="J29" s="19"/>
      <c r="L29" s="42"/>
    </row>
    <row r="30" spans="1:12" s="8" customFormat="1" x14ac:dyDescent="0.35">
      <c r="A30" s="6"/>
      <c r="C30" s="15"/>
      <c r="D30" s="6"/>
      <c r="E30" s="7"/>
      <c r="F30" s="6"/>
      <c r="G30" s="6"/>
      <c r="H30" s="7"/>
      <c r="I30" s="19"/>
      <c r="J30" s="19"/>
      <c r="L30" s="42"/>
    </row>
  </sheetData>
  <mergeCells count="1">
    <mergeCell ref="I5:J5"/>
  </mergeCells>
  <conditionalFormatting sqref="G1:G3 G8:G10521">
    <cfRule type="notContainsBlanks" dxfId="0" priority="1">
      <formula>LEN(TRIM(G1))&gt;0</formula>
    </cfRule>
  </conditionalFormatting>
  <dataValidations count="1">
    <dataValidation type="list" allowBlank="1" showInputMessage="1" showErrorMessage="1" sqref="I5:J5" xr:uid="{00000000-0002-0000-1100-000000000000}">
      <formula1>"Location 1,Location 2,Location 3,Location 4,Location 5,"</formula1>
    </dataValidation>
  </dataValidations>
  <pageMargins left="0.70866141732283461" right="0.70866141732283461" top="0.31496062992125984" bottom="0.55118110236220474" header="0.31496062992125984" footer="0.31496062992125984"/>
  <pageSetup paperSize="9" scale="51" fitToHeight="0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22"/>
  <dimension ref="A1:R45"/>
  <sheetViews>
    <sheetView view="pageBreakPreview" topLeftCell="A2" zoomScale="60" zoomScaleNormal="78" workbookViewId="0">
      <selection activeCell="C16" sqref="C16"/>
    </sheetView>
  </sheetViews>
  <sheetFormatPr defaultColWidth="9.08984375" defaultRowHeight="14.5" x14ac:dyDescent="0.35"/>
  <cols>
    <col min="1" max="1" width="9.08984375" style="223"/>
    <col min="2" max="2" width="45.6328125" style="223" customWidth="1"/>
    <col min="3" max="3" width="19.36328125" style="223" customWidth="1"/>
    <col min="4" max="4" width="13.36328125" style="223" customWidth="1"/>
    <col min="5" max="5" width="11.453125" style="223" customWidth="1"/>
    <col min="6" max="7" width="9.08984375" style="223"/>
    <col min="8" max="9" width="9.08984375" style="263"/>
    <col min="10" max="13" width="19.08984375" style="263" customWidth="1"/>
    <col min="14" max="18" width="9.08984375" style="263"/>
    <col min="19" max="16384" width="9.08984375" style="223"/>
  </cols>
  <sheetData>
    <row r="1" spans="2:16" ht="15" thickBot="1" x14ac:dyDescent="0.4"/>
    <row r="2" spans="2:16" ht="21.5" thickBot="1" x14ac:dyDescent="0.5">
      <c r="B2" s="224" t="s">
        <v>62</v>
      </c>
      <c r="C2" s="225"/>
      <c r="D2" s="225"/>
      <c r="E2" s="225"/>
      <c r="F2" s="226"/>
      <c r="I2" s="272"/>
      <c r="J2" s="273" t="s">
        <v>143</v>
      </c>
      <c r="K2" s="273">
        <f>+Summary!D36</f>
        <v>131603.17924563432</v>
      </c>
      <c r="L2" s="271"/>
      <c r="M2" s="270"/>
      <c r="N2" s="270"/>
      <c r="O2" s="264"/>
      <c r="P2" s="264"/>
    </row>
    <row r="3" spans="2:16" ht="18.5" x14ac:dyDescent="0.45">
      <c r="B3" s="227"/>
      <c r="C3" s="228"/>
      <c r="D3" s="229"/>
      <c r="E3" s="230"/>
      <c r="F3" s="231"/>
      <c r="I3" s="272"/>
      <c r="J3" s="273"/>
      <c r="K3" s="274"/>
      <c r="L3" s="275"/>
      <c r="M3" s="269"/>
      <c r="N3" s="269"/>
      <c r="O3" s="264"/>
      <c r="P3" s="264"/>
    </row>
    <row r="4" spans="2:16" ht="18.5" x14ac:dyDescent="0.45">
      <c r="B4" s="232" t="s">
        <v>144</v>
      </c>
      <c r="C4" s="233">
        <v>0.1</v>
      </c>
      <c r="D4" s="234">
        <f>+C4+1</f>
        <v>1.1000000000000001</v>
      </c>
      <c r="E4" s="235"/>
      <c r="F4" s="236"/>
      <c r="I4" s="272"/>
      <c r="J4" s="273" t="s">
        <v>127</v>
      </c>
      <c r="K4" s="273">
        <f>+(Summary!F31+Summary!G31)*1.1</f>
        <v>111746.30188712849</v>
      </c>
      <c r="L4" s="275"/>
      <c r="M4" s="269"/>
      <c r="N4" s="269"/>
      <c r="O4" s="264"/>
      <c r="P4" s="264"/>
    </row>
    <row r="5" spans="2:16" ht="15.5" x14ac:dyDescent="0.35">
      <c r="B5" s="237"/>
      <c r="C5" s="238"/>
      <c r="D5" s="239"/>
      <c r="E5" s="240"/>
      <c r="F5" s="231"/>
      <c r="I5" s="268"/>
      <c r="J5" s="276"/>
      <c r="K5" s="276"/>
      <c r="L5" s="277"/>
      <c r="M5" s="278">
        <f>CEILING((K4/K27),4)</f>
        <v>16</v>
      </c>
      <c r="N5" s="279" t="s">
        <v>103</v>
      </c>
      <c r="O5" s="280"/>
      <c r="P5" s="265"/>
    </row>
    <row r="6" spans="2:16" ht="15.5" x14ac:dyDescent="0.35">
      <c r="B6" s="232" t="s">
        <v>145</v>
      </c>
      <c r="C6" s="233">
        <v>0.1</v>
      </c>
      <c r="D6" s="234">
        <f>+C6+1</f>
        <v>1.1000000000000001</v>
      </c>
      <c r="E6" s="235"/>
      <c r="F6" s="236"/>
      <c r="I6" s="268"/>
      <c r="J6" s="279"/>
      <c r="K6" s="279"/>
      <c r="L6" s="277"/>
      <c r="M6" s="279"/>
      <c r="N6" s="279"/>
      <c r="O6" s="280"/>
      <c r="P6" s="265"/>
    </row>
    <row r="7" spans="2:16" ht="15.5" x14ac:dyDescent="0.35">
      <c r="B7" s="237"/>
      <c r="C7" s="238"/>
      <c r="D7" s="239"/>
      <c r="E7" s="242"/>
      <c r="F7" s="231"/>
      <c r="I7" s="268"/>
      <c r="J7" s="279" t="s">
        <v>63</v>
      </c>
      <c r="K7" s="279">
        <v>0</v>
      </c>
      <c r="L7" s="277" t="str">
        <f>IF(AND($K$4&gt;=K7,$K$4&lt;=K8),N7,O7)</f>
        <v>No</v>
      </c>
      <c r="M7" s="279">
        <v>5000</v>
      </c>
      <c r="N7" s="279" t="s">
        <v>64</v>
      </c>
      <c r="O7" s="280" t="s">
        <v>74</v>
      </c>
      <c r="P7" s="265"/>
    </row>
    <row r="8" spans="2:16" ht="16" thickBot="1" x14ac:dyDescent="0.4">
      <c r="B8" s="243" t="s">
        <v>109</v>
      </c>
      <c r="C8" s="244">
        <v>0.05</v>
      </c>
      <c r="D8" s="245">
        <f>+C8+1</f>
        <v>1.05</v>
      </c>
      <c r="E8" s="246"/>
      <c r="F8" s="247"/>
      <c r="I8" s="268"/>
      <c r="J8" s="279"/>
      <c r="K8" s="279">
        <v>50000</v>
      </c>
      <c r="L8" s="277"/>
      <c r="M8" s="279"/>
      <c r="N8" s="279"/>
      <c r="O8" s="280"/>
      <c r="P8" s="265"/>
    </row>
    <row r="9" spans="2:16" ht="15.5" x14ac:dyDescent="0.35">
      <c r="I9" s="268"/>
      <c r="J9" s="279" t="s">
        <v>65</v>
      </c>
      <c r="K9" s="279">
        <f>K8</f>
        <v>50000</v>
      </c>
      <c r="L9" s="277" t="str">
        <f>IF(AND($K$4&gt;=K9,$K$4&lt;=K10),N9,O9)</f>
        <v>Yes</v>
      </c>
      <c r="M9" s="279">
        <v>9000</v>
      </c>
      <c r="N9" s="279" t="s">
        <v>64</v>
      </c>
      <c r="O9" s="280" t="s">
        <v>74</v>
      </c>
      <c r="P9" s="265"/>
    </row>
    <row r="10" spans="2:16" ht="15.5" x14ac:dyDescent="0.35">
      <c r="I10" s="268"/>
      <c r="J10" s="279"/>
      <c r="K10" s="279">
        <v>150000</v>
      </c>
      <c r="L10" s="277"/>
      <c r="M10" s="279"/>
      <c r="N10" s="278"/>
      <c r="O10" s="280"/>
      <c r="P10" s="265"/>
    </row>
    <row r="11" spans="2:16" ht="15.5" x14ac:dyDescent="0.35">
      <c r="I11" s="268"/>
      <c r="J11" s="279" t="s">
        <v>66</v>
      </c>
      <c r="K11" s="279">
        <f>K10</f>
        <v>150000</v>
      </c>
      <c r="L11" s="277" t="str">
        <f>IF(AND($K$4&gt;=K11,$K$4&lt;=K12),N11,O11)</f>
        <v>No</v>
      </c>
      <c r="M11" s="279">
        <v>10000</v>
      </c>
      <c r="N11" s="279" t="s">
        <v>64</v>
      </c>
      <c r="O11" s="280" t="s">
        <v>74</v>
      </c>
      <c r="P11" s="265"/>
    </row>
    <row r="12" spans="2:16" ht="15.5" x14ac:dyDescent="0.35">
      <c r="I12" s="268"/>
      <c r="J12" s="279"/>
      <c r="K12" s="279">
        <v>350000</v>
      </c>
      <c r="L12" s="277"/>
      <c r="M12" s="279"/>
      <c r="N12" s="278"/>
      <c r="O12" s="280"/>
      <c r="P12" s="265"/>
    </row>
    <row r="13" spans="2:16" ht="16" thickBot="1" x14ac:dyDescent="0.4">
      <c r="I13" s="268"/>
      <c r="J13" s="279" t="s">
        <v>67</v>
      </c>
      <c r="K13" s="279">
        <f>K12</f>
        <v>350000</v>
      </c>
      <c r="L13" s="277" t="str">
        <f>IF(AND($K$4&gt;=K13,$K$4&lt;=K14),N13,O13)</f>
        <v>No</v>
      </c>
      <c r="M13" s="279">
        <v>12500</v>
      </c>
      <c r="N13" s="279" t="s">
        <v>64</v>
      </c>
      <c r="O13" s="280" t="s">
        <v>74</v>
      </c>
      <c r="P13" s="265"/>
    </row>
    <row r="14" spans="2:16" ht="16" thickBot="1" x14ac:dyDescent="0.4">
      <c r="B14" s="248" t="s">
        <v>146</v>
      </c>
      <c r="C14" s="249" t="s">
        <v>152</v>
      </c>
      <c r="I14" s="268"/>
      <c r="J14" s="279"/>
      <c r="K14" s="279">
        <v>500000</v>
      </c>
      <c r="L14" s="277"/>
      <c r="M14" s="279"/>
      <c r="N14" s="278"/>
      <c r="O14" s="280"/>
      <c r="P14" s="265"/>
    </row>
    <row r="15" spans="2:16" ht="18.5" x14ac:dyDescent="0.45">
      <c r="B15" s="250" t="s">
        <v>151</v>
      </c>
      <c r="C15" s="251">
        <v>0</v>
      </c>
      <c r="I15" s="268"/>
      <c r="J15" s="279" t="s">
        <v>68</v>
      </c>
      <c r="K15" s="279">
        <f>K14</f>
        <v>500000</v>
      </c>
      <c r="L15" s="277" t="str">
        <f>IF(AND($K$4&gt;=K15,$K$4&lt;=K16),N15,O15)</f>
        <v>No</v>
      </c>
      <c r="M15" s="279">
        <v>14000</v>
      </c>
      <c r="N15" s="279" t="s">
        <v>64</v>
      </c>
      <c r="O15" s="280" t="s">
        <v>74</v>
      </c>
      <c r="P15" s="265"/>
    </row>
    <row r="16" spans="2:16" ht="18.5" x14ac:dyDescent="0.45">
      <c r="B16" s="252" t="s">
        <v>129</v>
      </c>
      <c r="C16" s="253">
        <v>300</v>
      </c>
      <c r="I16" s="268"/>
      <c r="J16" s="279"/>
      <c r="K16" s="279">
        <v>750000</v>
      </c>
      <c r="L16" s="277"/>
      <c r="M16" s="279"/>
      <c r="N16" s="278"/>
      <c r="O16" s="280"/>
      <c r="P16" s="265"/>
    </row>
    <row r="17" spans="1:16" ht="18.5" x14ac:dyDescent="0.45">
      <c r="B17" s="250" t="s">
        <v>130</v>
      </c>
      <c r="C17" s="251">
        <v>0</v>
      </c>
      <c r="I17" s="268"/>
      <c r="J17" s="279" t="s">
        <v>69</v>
      </c>
      <c r="K17" s="279">
        <v>750000</v>
      </c>
      <c r="L17" s="277" t="str">
        <f>IF(AND($K$4&gt;=K17,$K$4&lt;=K18),N17,O17)</f>
        <v>No</v>
      </c>
      <c r="M17" s="279">
        <v>15500</v>
      </c>
      <c r="N17" s="279" t="s">
        <v>64</v>
      </c>
      <c r="O17" s="280" t="s">
        <v>74</v>
      </c>
      <c r="P17" s="265"/>
    </row>
    <row r="18" spans="1:16" ht="18.5" x14ac:dyDescent="0.45">
      <c r="B18" s="254" t="s">
        <v>131</v>
      </c>
      <c r="C18" s="253">
        <v>300</v>
      </c>
      <c r="I18" s="268"/>
      <c r="J18" s="279"/>
      <c r="K18" s="279">
        <v>1000000</v>
      </c>
      <c r="L18" s="277"/>
      <c r="M18" s="279"/>
      <c r="N18" s="278"/>
      <c r="O18" s="280"/>
      <c r="P18" s="265"/>
    </row>
    <row r="19" spans="1:16" ht="18.5" x14ac:dyDescent="0.45">
      <c r="B19" s="250" t="s">
        <v>132</v>
      </c>
      <c r="C19" s="251">
        <v>300</v>
      </c>
      <c r="I19" s="268"/>
      <c r="J19" s="279" t="s">
        <v>70</v>
      </c>
      <c r="K19" s="279">
        <f>K18</f>
        <v>1000000</v>
      </c>
      <c r="L19" s="277" t="str">
        <f>IF(AND($K$4&gt;=K19,$K$4&lt;=K20),N19,O19)</f>
        <v>No</v>
      </c>
      <c r="M19" s="279">
        <v>16750</v>
      </c>
      <c r="N19" s="279" t="s">
        <v>64</v>
      </c>
      <c r="O19" s="280" t="s">
        <v>74</v>
      </c>
      <c r="P19" s="265"/>
    </row>
    <row r="20" spans="1:16" ht="18.5" x14ac:dyDescent="0.45">
      <c r="B20" s="254" t="s">
        <v>133</v>
      </c>
      <c r="C20" s="253">
        <v>0</v>
      </c>
      <c r="I20" s="268"/>
      <c r="J20" s="279"/>
      <c r="K20" s="279">
        <v>1250000</v>
      </c>
      <c r="L20" s="277"/>
      <c r="M20" s="279"/>
      <c r="N20" s="278"/>
      <c r="O20" s="280"/>
      <c r="P20" s="265"/>
    </row>
    <row r="21" spans="1:16" ht="18.5" x14ac:dyDescent="0.45">
      <c r="B21" s="250" t="s">
        <v>142</v>
      </c>
      <c r="C21" s="251">
        <v>250</v>
      </c>
      <c r="I21" s="268"/>
      <c r="J21" s="279" t="s">
        <v>71</v>
      </c>
      <c r="K21" s="279">
        <f>K20</f>
        <v>1250000</v>
      </c>
      <c r="L21" s="277" t="str">
        <f>IF(AND($K$4&gt;=K21,$K$4&lt;=K22),N21,O21)</f>
        <v>No</v>
      </c>
      <c r="M21" s="279">
        <v>19000</v>
      </c>
      <c r="N21" s="279" t="s">
        <v>64</v>
      </c>
      <c r="O21" s="280" t="s">
        <v>74</v>
      </c>
      <c r="P21" s="265"/>
    </row>
    <row r="22" spans="1:16" ht="18.5" x14ac:dyDescent="0.45">
      <c r="B22" s="254" t="s">
        <v>134</v>
      </c>
      <c r="C22" s="253">
        <v>200</v>
      </c>
      <c r="I22" s="268"/>
      <c r="J22" s="279"/>
      <c r="K22" s="279">
        <v>1500000</v>
      </c>
      <c r="L22" s="277"/>
      <c r="M22" s="279"/>
      <c r="N22" s="278"/>
      <c r="O22" s="280"/>
      <c r="P22" s="265"/>
    </row>
    <row r="23" spans="1:16" ht="18.5" x14ac:dyDescent="0.45">
      <c r="B23" s="250" t="s">
        <v>135</v>
      </c>
      <c r="C23" s="251">
        <v>0</v>
      </c>
      <c r="I23" s="268"/>
      <c r="J23" s="279" t="s">
        <v>72</v>
      </c>
      <c r="K23" s="279">
        <f>K22</f>
        <v>1500000</v>
      </c>
      <c r="L23" s="277" t="str">
        <f>IF(AND($K$4&gt;=K23,$K$4&lt;=K24),N23,O23)</f>
        <v>No</v>
      </c>
      <c r="M23" s="279">
        <v>20500</v>
      </c>
      <c r="N23" s="279" t="s">
        <v>64</v>
      </c>
      <c r="O23" s="280" t="s">
        <v>74</v>
      </c>
      <c r="P23" s="265"/>
    </row>
    <row r="24" spans="1:16" ht="18.5" x14ac:dyDescent="0.45">
      <c r="B24" s="254" t="s">
        <v>136</v>
      </c>
      <c r="C24" s="253">
        <v>0</v>
      </c>
      <c r="I24" s="268"/>
      <c r="J24" s="279"/>
      <c r="K24" s="279">
        <v>2000000</v>
      </c>
      <c r="L24" s="277"/>
      <c r="M24" s="278"/>
      <c r="N24" s="278"/>
      <c r="O24" s="280"/>
      <c r="P24" s="265"/>
    </row>
    <row r="25" spans="1:16" ht="19" thickBot="1" x14ac:dyDescent="0.5">
      <c r="B25" s="255" t="s">
        <v>137</v>
      </c>
      <c r="C25" s="256">
        <v>0</v>
      </c>
      <c r="I25" s="268"/>
      <c r="J25" s="279" t="s">
        <v>73</v>
      </c>
      <c r="K25" s="279">
        <f>K24</f>
        <v>2000000</v>
      </c>
      <c r="L25" s="277" t="str">
        <f>IF(AND($K$4&gt;=K25,$K$4&lt;=K26),N25,O25)</f>
        <v>No</v>
      </c>
      <c r="M25" s="279">
        <v>27500</v>
      </c>
      <c r="N25" s="279" t="s">
        <v>64</v>
      </c>
      <c r="O25" s="280" t="s">
        <v>74</v>
      </c>
      <c r="P25" s="265"/>
    </row>
    <row r="26" spans="1:16" ht="15.5" x14ac:dyDescent="0.35">
      <c r="B26" s="257"/>
      <c r="C26" s="258"/>
      <c r="D26" s="258"/>
      <c r="E26" s="258"/>
      <c r="I26" s="268"/>
      <c r="J26" s="279"/>
      <c r="K26" s="279">
        <v>500000000</v>
      </c>
      <c r="L26" s="277"/>
      <c r="M26" s="278"/>
      <c r="N26" s="278"/>
      <c r="O26" s="280"/>
      <c r="P26" s="265"/>
    </row>
    <row r="27" spans="1:16" ht="15.5" x14ac:dyDescent="0.35">
      <c r="A27" s="259"/>
      <c r="B27" s="260"/>
      <c r="C27" s="258"/>
      <c r="D27" s="258"/>
      <c r="E27" s="241"/>
      <c r="I27" s="268"/>
      <c r="J27" s="279" t="s">
        <v>111</v>
      </c>
      <c r="K27" s="279">
        <f>IF(L7="Yes",M7)+IF(L9="Yes",M9)+IF(L11="Yes",M11)+IF(L13="Yes",M13)+IF(L15="Yes",M15)+IF(L17="Yes",M17)+IF(L19="Yes",M19)+IF(L21="Yes",M21)+IF(L23="Yes",M23)</f>
        <v>9000</v>
      </c>
      <c r="L27" s="281"/>
      <c r="M27" s="278"/>
      <c r="N27" s="278"/>
      <c r="O27" s="280"/>
      <c r="P27" s="265"/>
    </row>
    <row r="28" spans="1:16" ht="15.5" x14ac:dyDescent="0.35">
      <c r="A28" s="259"/>
      <c r="B28" s="260"/>
      <c r="C28" s="258"/>
      <c r="D28" s="258"/>
      <c r="E28" s="241"/>
      <c r="I28" s="268"/>
      <c r="J28" s="279"/>
      <c r="K28" s="278"/>
      <c r="L28" s="281"/>
      <c r="M28" s="278"/>
      <c r="N28" s="278"/>
      <c r="O28" s="280"/>
      <c r="P28" s="265"/>
    </row>
    <row r="29" spans="1:16" ht="15.5" x14ac:dyDescent="0.35">
      <c r="A29" s="261"/>
      <c r="B29" s="260"/>
      <c r="C29" s="258"/>
      <c r="D29" s="258"/>
      <c r="E29" s="241"/>
      <c r="J29" s="276"/>
      <c r="K29" s="276"/>
      <c r="L29" s="276"/>
      <c r="M29" s="282" t="s">
        <v>128</v>
      </c>
      <c r="N29" s="276"/>
      <c r="O29" s="276"/>
    </row>
    <row r="30" spans="1:16" ht="15.5" x14ac:dyDescent="0.35">
      <c r="A30" s="262"/>
      <c r="B30" s="260"/>
      <c r="C30" s="258"/>
      <c r="D30" s="258"/>
      <c r="E30" s="241"/>
      <c r="J30" s="276"/>
      <c r="K30" s="276"/>
      <c r="L30" s="276"/>
      <c r="M30" s="283">
        <f t="shared" ref="M30:M35" si="0">+C15/250+IF(C15=0,1)</f>
        <v>1</v>
      </c>
      <c r="N30" s="276"/>
      <c r="O30" s="276"/>
    </row>
    <row r="31" spans="1:16" ht="15.5" x14ac:dyDescent="0.35">
      <c r="A31" s="262"/>
      <c r="B31" s="260"/>
      <c r="C31" s="258"/>
      <c r="D31" s="258"/>
      <c r="E31" s="241"/>
      <c r="J31" s="276"/>
      <c r="K31" s="276"/>
      <c r="L31" s="276"/>
      <c r="M31" s="283">
        <f t="shared" si="0"/>
        <v>1.2</v>
      </c>
      <c r="N31" s="276"/>
      <c r="O31" s="276"/>
    </row>
    <row r="32" spans="1:16" ht="15.5" x14ac:dyDescent="0.35">
      <c r="A32" s="261"/>
      <c r="B32" s="260"/>
      <c r="C32" s="258"/>
      <c r="D32" s="258"/>
      <c r="E32" s="241"/>
      <c r="J32" s="276"/>
      <c r="K32" s="276"/>
      <c r="L32" s="276"/>
      <c r="M32" s="283">
        <f t="shared" si="0"/>
        <v>1</v>
      </c>
      <c r="N32" s="276"/>
      <c r="O32" s="276"/>
    </row>
    <row r="33" spans="1:15" ht="15.5" x14ac:dyDescent="0.35">
      <c r="A33" s="262"/>
      <c r="B33" s="260"/>
      <c r="C33" s="258"/>
      <c r="D33" s="258"/>
      <c r="E33" s="241"/>
      <c r="J33" s="276"/>
      <c r="K33" s="276"/>
      <c r="L33" s="276"/>
      <c r="M33" s="283">
        <f t="shared" si="0"/>
        <v>1.2</v>
      </c>
      <c r="N33" s="276"/>
      <c r="O33" s="276"/>
    </row>
    <row r="34" spans="1:15" ht="15.5" x14ac:dyDescent="0.35">
      <c r="A34" s="262"/>
      <c r="B34" s="260"/>
      <c r="C34" s="258"/>
      <c r="D34" s="258"/>
      <c r="E34" s="241"/>
      <c r="J34" s="276"/>
      <c r="K34" s="276"/>
      <c r="L34" s="276"/>
      <c r="M34" s="283">
        <f t="shared" si="0"/>
        <v>1.2</v>
      </c>
      <c r="N34" s="276"/>
      <c r="O34" s="276"/>
    </row>
    <row r="35" spans="1:15" ht="15.5" x14ac:dyDescent="0.35">
      <c r="A35" s="261"/>
      <c r="B35" s="260"/>
      <c r="C35" s="258"/>
      <c r="D35" s="258"/>
      <c r="E35" s="241"/>
      <c r="J35" s="276"/>
      <c r="K35" s="276"/>
      <c r="L35" s="276"/>
      <c r="M35" s="283">
        <f t="shared" si="0"/>
        <v>1</v>
      </c>
      <c r="N35" s="276"/>
      <c r="O35" s="276"/>
    </row>
    <row r="36" spans="1:15" ht="15.5" x14ac:dyDescent="0.35">
      <c r="A36" s="262"/>
      <c r="B36" s="260"/>
      <c r="C36" s="258"/>
      <c r="D36" s="258"/>
      <c r="E36" s="241"/>
      <c r="J36" s="276"/>
      <c r="K36" s="276"/>
      <c r="L36" s="276"/>
      <c r="M36" s="283">
        <f>+C21/220+IF(C21=0,1)</f>
        <v>1.1363636363636365</v>
      </c>
      <c r="N36" s="276"/>
      <c r="O36" s="276"/>
    </row>
    <row r="37" spans="1:15" ht="15.5" x14ac:dyDescent="0.35">
      <c r="A37" s="262"/>
      <c r="B37" s="260"/>
      <c r="C37" s="258"/>
      <c r="D37" s="258"/>
      <c r="E37" s="241"/>
      <c r="J37" s="276"/>
      <c r="K37" s="276"/>
      <c r="L37" s="276"/>
      <c r="M37" s="283">
        <f>+C22/150+IF(C22=0,1)</f>
        <v>1.3333333333333333</v>
      </c>
      <c r="N37" s="276"/>
      <c r="O37" s="276"/>
    </row>
    <row r="38" spans="1:15" ht="15.5" x14ac:dyDescent="0.35">
      <c r="A38" s="261"/>
      <c r="B38" s="260"/>
      <c r="C38" s="258"/>
      <c r="D38" s="258"/>
      <c r="E38" s="241"/>
      <c r="J38" s="276"/>
      <c r="K38" s="276"/>
      <c r="L38" s="276"/>
      <c r="M38" s="283">
        <f>+C23/220+IF(C23=0,1)</f>
        <v>1</v>
      </c>
      <c r="N38" s="276"/>
      <c r="O38" s="276"/>
    </row>
    <row r="39" spans="1:15" ht="15.5" x14ac:dyDescent="0.35">
      <c r="A39" s="262"/>
      <c r="B39" s="260"/>
      <c r="C39" s="258"/>
      <c r="D39" s="258"/>
      <c r="E39" s="241"/>
      <c r="J39" s="276"/>
      <c r="K39" s="276"/>
      <c r="L39" s="276"/>
      <c r="M39" s="283">
        <f>+C24/400+IF(C24=0,1)</f>
        <v>1</v>
      </c>
      <c r="N39" s="276"/>
      <c r="O39" s="276"/>
    </row>
    <row r="40" spans="1:15" ht="15.5" x14ac:dyDescent="0.35">
      <c r="A40" s="262"/>
      <c r="B40" s="260"/>
      <c r="C40" s="258"/>
      <c r="D40" s="258"/>
      <c r="E40" s="241"/>
      <c r="J40" s="276"/>
      <c r="K40" s="276"/>
      <c r="L40" s="276"/>
      <c r="M40" s="283">
        <f>+C25/400+IF(C25=0,1)</f>
        <v>1</v>
      </c>
      <c r="N40" s="276"/>
      <c r="O40" s="276"/>
    </row>
    <row r="41" spans="1:15" ht="15.5" x14ac:dyDescent="0.35">
      <c r="A41" s="261"/>
      <c r="B41" s="260"/>
      <c r="C41" s="258"/>
      <c r="D41" s="258"/>
      <c r="E41" s="241"/>
      <c r="J41" s="284"/>
      <c r="K41" s="284"/>
      <c r="L41" s="284"/>
      <c r="M41" s="284"/>
      <c r="N41" s="284"/>
      <c r="O41" s="284"/>
    </row>
    <row r="42" spans="1:15" x14ac:dyDescent="0.35">
      <c r="J42" s="284"/>
      <c r="K42" s="284"/>
      <c r="L42" s="284"/>
      <c r="M42" s="284"/>
      <c r="N42" s="284"/>
      <c r="O42" s="284"/>
    </row>
    <row r="44" spans="1:15" ht="15.5" x14ac:dyDescent="0.35">
      <c r="J44" s="262"/>
      <c r="K44" s="266"/>
      <c r="L44" s="267"/>
      <c r="M44" s="267"/>
      <c r="N44" s="268"/>
    </row>
    <row r="45" spans="1:15" ht="15.5" x14ac:dyDescent="0.35">
      <c r="J45" s="262"/>
      <c r="K45" s="266"/>
      <c r="L45" s="267"/>
      <c r="M45" s="267"/>
      <c r="N45" s="268"/>
    </row>
  </sheetData>
  <sheetProtection algorithmName="SHA-512" hashValue="pCbTo5KHjnA+XG7IFnzQimwngrboH9utopkLGOX7nbhxolxFtdjbB5FOl8MwKifYSbDpHmMWX/483RBNc5Zxnw==" saltValue="OKGQ8xzVGLsW3MBphXLzYw==" spinCount="100000" sheet="1" objects="1" scenarios="1" selectLockedCells="1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26DEC9F97744D439FF1ACAB52065593" ma:contentTypeVersion="13" ma:contentTypeDescription="Create a new document." ma:contentTypeScope="" ma:versionID="855e32753255e40e7dbf3aea54f183a6">
  <xsd:schema xmlns:xsd="http://www.w3.org/2001/XMLSchema" xmlns:xs="http://www.w3.org/2001/XMLSchema" xmlns:p="http://schemas.microsoft.com/office/2006/metadata/properties" xmlns:ns2="c197f9b3-50a5-436b-858b-9c6a1acde426" xmlns:ns3="91608d5a-29bd-4871-a2f6-96bef51a658f" targetNamespace="http://schemas.microsoft.com/office/2006/metadata/properties" ma:root="true" ma:fieldsID="8c2cb5e4b7571dcaa1138ef9e2f5b23f" ns2:_="" ns3:_="">
    <xsd:import namespace="c197f9b3-50a5-436b-858b-9c6a1acde426"/>
    <xsd:import namespace="91608d5a-29bd-4871-a2f6-96bef51a658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197f9b3-50a5-436b-858b-9c6a1acde4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be61b0f2-db17-41d3-8567-230af5403ca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1608d5a-29bd-4871-a2f6-96bef51a658f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bcac3776-a104-4a73-a72e-351a91ef81e8}" ma:internalName="TaxCatchAll" ma:showField="CatchAllData" ma:web="91608d5a-29bd-4871-a2f6-96bef51a658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1608d5a-29bd-4871-a2f6-96bef51a658f" xsi:nil="true"/>
    <lcf76f155ced4ddcb4097134ff3c332f xmlns="c197f9b3-50a5-436b-858b-9c6a1acde426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425B970F-52BD-4B5B-9B5E-BA28841CAA8A}">
  <ds:schemaRefs>
    <ds:schemaRef ds:uri="http://www.w3.org/2001/XMLSchema"/>
  </ds:schemaRefs>
</ds:datastoreItem>
</file>

<file path=customXml/itemProps2.xml><?xml version="1.0" encoding="utf-8"?>
<ds:datastoreItem xmlns:ds="http://schemas.openxmlformats.org/officeDocument/2006/customXml" ds:itemID="{660F26BA-EEFE-4F85-8E62-47F567560D9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E9EEE60-B4B0-4562-B98E-8CC971D6F49D}">
  <ds:schemaRefs>
    <ds:schemaRef ds:uri="http://schemas.microsoft.com/office/2006/metadata/contentType"/>
    <ds:schemaRef ds:uri="http://schemas.microsoft.com/office/2006/metadata/properties/metaAttributes"/>
    <ds:schemaRef ds:uri="http://www.w3.org/2000/xmlns/"/>
    <ds:schemaRef ds:uri="http://www.w3.org/2001/XMLSchema"/>
    <ds:schemaRef ds:uri="c197f9b3-50a5-436b-858b-9c6a1acde426"/>
    <ds:schemaRef ds:uri="91608d5a-29bd-4871-a2f6-96bef51a658f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BA3574D1-0E39-46F3-B144-49DB8EB3B7E4}">
  <ds:schemaRefs>
    <ds:schemaRef ds:uri="c197f9b3-50a5-436b-858b-9c6a1acde426"/>
    <ds:schemaRef ds:uri="http://schemas.microsoft.com/office/2006/documentManagement/types"/>
    <ds:schemaRef ds:uri="http://purl.org/dc/terms/"/>
    <ds:schemaRef ds:uri="http://purl.org/dc/elements/1.1/"/>
    <ds:schemaRef ds:uri="91608d5a-29bd-4871-a2f6-96bef51a658f"/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schemas.microsoft.com/office/infopath/2007/PartnerControl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18</vt:i4>
      </vt:variant>
      <vt:variant>
        <vt:lpstr>Named Ranges</vt:lpstr>
      </vt:variant>
      <vt:variant>
        <vt:i4>15</vt:i4>
      </vt:variant>
    </vt:vector>
  </HeadingPairs>
  <TitlesOfParts>
    <vt:vector size="33" baseType="lpstr">
      <vt:lpstr>Cover</vt:lpstr>
      <vt:lpstr>Qual, Excl &amp; Assum</vt:lpstr>
      <vt:lpstr>Documents</vt:lpstr>
      <vt:lpstr>Summary</vt:lpstr>
      <vt:lpstr>Demolition</vt:lpstr>
      <vt:lpstr>Superstructure</vt:lpstr>
      <vt:lpstr>Structural Steelwork</vt:lpstr>
      <vt:lpstr>Windows, Doors &amp; Rooflights</vt:lpstr>
      <vt:lpstr>Partitions</vt:lpstr>
      <vt:lpstr>Joinery</vt:lpstr>
      <vt:lpstr>Decoration</vt:lpstr>
      <vt:lpstr>Floor finishes</vt:lpstr>
      <vt:lpstr>Wall finishes</vt:lpstr>
      <vt:lpstr>Kitchen &amp; Bathrooms </vt:lpstr>
      <vt:lpstr>Electrical</vt:lpstr>
      <vt:lpstr>Mechanical</vt:lpstr>
      <vt:lpstr>Preliminaries</vt:lpstr>
      <vt:lpstr>Details</vt:lpstr>
      <vt:lpstr>Cover!Print_Area</vt:lpstr>
      <vt:lpstr>Decoration!Print_Area</vt:lpstr>
      <vt:lpstr>Demolition!Print_Area</vt:lpstr>
      <vt:lpstr>Electrical!Print_Area</vt:lpstr>
      <vt:lpstr>'Floor finishes'!Print_Area</vt:lpstr>
      <vt:lpstr>Joinery!Print_Area</vt:lpstr>
      <vt:lpstr>'Kitchen &amp; Bathrooms '!Print_Area</vt:lpstr>
      <vt:lpstr>Mechanical!Print_Area</vt:lpstr>
      <vt:lpstr>Partitions!Print_Area</vt:lpstr>
      <vt:lpstr>Preliminaries!Print_Area</vt:lpstr>
      <vt:lpstr>'Structural Steelwork'!Print_Area</vt:lpstr>
      <vt:lpstr>Summary!Print_Area</vt:lpstr>
      <vt:lpstr>Superstructure!Print_Area</vt:lpstr>
      <vt:lpstr>'Wall finishes'!Print_Area</vt:lpstr>
      <vt:lpstr>'Windows, Doors &amp; Rooflights'!Print_Area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Sahana Hashim</dc:creator>
  <cp:lastModifiedBy>COMET</cp:lastModifiedBy>
  <cp:lastPrinted>2025-07-27T18:26:52Z</cp:lastPrinted>
  <dcterms:created xsi:type="dcterms:W3CDTF">2009-09-18T08:39:19Z</dcterms:created>
  <dcterms:modified xsi:type="dcterms:W3CDTF">2025-11-21T11:17:29Z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0x010100926DEC9F97744D439FF1ACAB52065593</vt:lpwstr>
  </property>
  <property fmtid="{D5CDD505-2E9C-101B-9397-08002B2CF9AE}" pid="3" name="MediaServiceImageTags">
    <vt:lpwstr/>
  </property>
  <property fmtid="{D5CDD505-2E9C-101B-9397-08002B2CF9AE}" pid="4" name="PlanSwiftJobName">
    <vt:lpwstr/>
  </property>
  <property fmtid="{D5CDD505-2E9C-101B-9397-08002B2CF9AE}" pid="5" name="PlanSwiftJobGuid">
    <vt:lpwstr/>
  </property>
  <property fmtid="{D5CDD505-2E9C-101B-9397-08002B2CF9AE}" pid="6" name="LinkedDataId">
    <vt:lpwstr>{425B970F-52BD-4B5B-9B5E-BA28841CAA8A}</vt:lpwstr>
  </property>
</Properties>
</file>